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20" windowWidth="24240" windowHeight="8790"/>
  </bookViews>
  <sheets>
    <sheet name="Pagaments" sheetId="1" r:id="rId1"/>
    <sheet name="Previsio despeses cap 2" sheetId="2" r:id="rId2"/>
    <sheet name="Previsio nomina cap 1" sheetId="3" r:id="rId3"/>
    <sheet name="Hoja1" sheetId="4" r:id="rId4"/>
  </sheets>
  <calcPr calcId="145621"/>
  <customWorkbookViews>
    <customWorkbookView name="Arnau Sala Curado - Barcelona - Vista personalizada" guid="{FB6C1840-092B-4DCD-B114-14127DE8C0F9}" mergeInterval="0" personalView="1" maximized="1" windowWidth="1916" windowHeight="854" activeSheetId="1"/>
    <customWorkbookView name="Maria Claramunt Elías - Vista personalizada" guid="{BFAC555E-E7B7-4CF7-9F1A-95D34DDED4B3}" mergeInterval="0" personalView="1" maximized="1" windowWidth="1916" windowHeight="854" activeSheetId="2"/>
    <customWorkbookView name="Magda Roig Gallego - Barcelona - Vista personalizada" guid="{03D5BD7D-D4D3-4AFF-8EAA-66637F997C80}" mergeInterval="0" personalView="1" maximized="1" windowWidth="1596" windowHeight="674" activeSheetId="1"/>
  </customWorkbookViews>
</workbook>
</file>

<file path=xl/calcChain.xml><?xml version="1.0" encoding="utf-8"?>
<calcChain xmlns="http://schemas.openxmlformats.org/spreadsheetml/2006/main">
  <c r="Z27" i="1" l="1"/>
  <c r="Z26" i="1"/>
  <c r="Z25" i="1"/>
  <c r="Z21" i="1"/>
  <c r="Z20" i="1"/>
  <c r="Z17" i="1"/>
  <c r="Z16" i="1"/>
  <c r="Z11" i="1"/>
  <c r="Z10" i="1"/>
  <c r="Z9" i="1"/>
  <c r="Z7" i="1"/>
  <c r="Z6" i="1"/>
  <c r="Y8" i="1" l="1"/>
  <c r="Z8" i="1"/>
  <c r="Y5" i="1"/>
  <c r="Z5" i="1" s="1"/>
  <c r="Y7" i="1"/>
  <c r="M9" i="1" l="1"/>
  <c r="W5" i="1" l="1"/>
  <c r="W8" i="1"/>
  <c r="W7" i="1"/>
  <c r="W6" i="1"/>
  <c r="M25" i="1" l="1"/>
  <c r="I10" i="1"/>
  <c r="G10" i="1"/>
  <c r="E7" i="1" l="1"/>
  <c r="E17" i="1"/>
  <c r="U5" i="1" l="1"/>
  <c r="U8" i="1" l="1"/>
  <c r="U24" i="1" s="1"/>
  <c r="T24" i="1"/>
  <c r="S5" i="1" l="1"/>
  <c r="S7" i="1" l="1"/>
  <c r="Q5" i="1" l="1"/>
  <c r="Y24" i="1" l="1"/>
  <c r="W24" i="1"/>
  <c r="S8" i="1" l="1"/>
  <c r="S24" i="1" s="1"/>
  <c r="Q8" i="1" l="1"/>
  <c r="Q24" i="1" s="1"/>
  <c r="O5" i="1" l="1"/>
  <c r="O7" i="1"/>
  <c r="M40" i="2" l="1"/>
  <c r="H11" i="3" l="1"/>
  <c r="O8" i="1" l="1"/>
  <c r="O24" i="1" s="1"/>
  <c r="O28" i="1" s="1"/>
  <c r="M7" i="1" l="1"/>
  <c r="M5" i="1"/>
  <c r="Y28" i="1" l="1"/>
  <c r="W28" i="1"/>
  <c r="U28" i="1"/>
  <c r="S28" i="1"/>
  <c r="Q28" i="1"/>
  <c r="M8" i="1" l="1"/>
  <c r="M24" i="1" s="1"/>
  <c r="M28" i="1" l="1"/>
  <c r="K7" i="1" l="1"/>
  <c r="K5" i="1"/>
  <c r="K8" i="1" l="1"/>
  <c r="K24" i="1" l="1"/>
  <c r="K28" i="1" s="1"/>
  <c r="I7" i="1"/>
  <c r="I5" i="1"/>
  <c r="I8" i="1" l="1"/>
  <c r="I24" i="1" s="1"/>
  <c r="E11" i="1" l="1"/>
  <c r="B30" i="1" l="1"/>
  <c r="G7" i="1" l="1"/>
  <c r="G8" i="1" l="1"/>
  <c r="C11" i="1"/>
  <c r="E10" i="1"/>
  <c r="E16" i="1"/>
  <c r="G5" i="1" l="1"/>
  <c r="I28" i="1" l="1"/>
  <c r="G24" i="1"/>
  <c r="G28" i="1" s="1"/>
  <c r="E5" i="1" l="1"/>
  <c r="E8" i="1" l="1"/>
  <c r="E24" i="1" s="1"/>
  <c r="E28" i="1" s="1"/>
  <c r="C10" i="1"/>
  <c r="C8" i="1"/>
  <c r="C7" i="1" l="1"/>
  <c r="C5" i="1" s="1"/>
  <c r="C24" i="1" s="1"/>
  <c r="C28" i="1" s="1"/>
  <c r="C25" i="2" l="1"/>
  <c r="C24" i="2"/>
  <c r="C23" i="2"/>
  <c r="C21" i="2"/>
  <c r="C20" i="2"/>
  <c r="C19" i="2"/>
  <c r="X10" i="1"/>
  <c r="V10" i="1"/>
  <c r="T10" i="1"/>
  <c r="R10" i="1"/>
  <c r="P10" i="1"/>
  <c r="N10" i="1"/>
  <c r="L10" i="1"/>
  <c r="F10" i="1"/>
  <c r="H10" i="1" s="1"/>
  <c r="J10" i="1" s="1"/>
  <c r="D10" i="1"/>
  <c r="B10" i="1"/>
  <c r="N9" i="1"/>
  <c r="N8" i="1" s="1"/>
  <c r="X6" i="1"/>
  <c r="L6" i="1"/>
  <c r="F6" i="1"/>
  <c r="N37" i="2"/>
  <c r="N17" i="2"/>
  <c r="J6" i="1"/>
  <c r="T9" i="1"/>
  <c r="J9" i="1"/>
  <c r="H9" i="1"/>
  <c r="D17" i="3" l="1"/>
  <c r="V6" i="1" s="1"/>
  <c r="D12" i="3" l="1"/>
  <c r="D9" i="3"/>
  <c r="H6" i="1" s="1"/>
  <c r="D6" i="3"/>
  <c r="S15" i="2" l="1"/>
  <c r="D27" i="2"/>
  <c r="D9" i="1" s="1"/>
  <c r="I27" i="2"/>
  <c r="H8" i="1" l="1"/>
  <c r="I15" i="2" l="1"/>
  <c r="D11" i="2"/>
  <c r="B9" i="1" s="1"/>
  <c r="F9" i="1" l="1"/>
  <c r="F8" i="1" s="1"/>
  <c r="D8" i="1"/>
  <c r="S38" i="2"/>
  <c r="X9" i="1" s="1"/>
  <c r="X8" i="1" s="1"/>
  <c r="T8" i="1"/>
  <c r="R9" i="1"/>
  <c r="R8" i="1" s="1"/>
  <c r="S26" i="2"/>
  <c r="V9" i="1" s="1"/>
  <c r="V8" i="1" s="1"/>
  <c r="N26" i="2"/>
  <c r="I37" i="2"/>
  <c r="L9" i="1" s="1"/>
  <c r="D20" i="1"/>
  <c r="F20" i="1"/>
  <c r="H20" i="1"/>
  <c r="J20" i="1"/>
  <c r="L20" i="1"/>
  <c r="N20" i="1"/>
  <c r="P20" i="1"/>
  <c r="R20" i="1"/>
  <c r="T20" i="1"/>
  <c r="V20" i="1"/>
  <c r="X20" i="1"/>
  <c r="B20" i="1"/>
  <c r="D37" i="2"/>
  <c r="X16" i="1"/>
  <c r="F16" i="1"/>
  <c r="P16" i="1"/>
  <c r="N16" i="1"/>
  <c r="L16" i="1"/>
  <c r="H16" i="1"/>
  <c r="P9" i="1" l="1"/>
  <c r="P8" i="1" s="1"/>
  <c r="J16" i="1"/>
  <c r="R16" i="1"/>
  <c r="T16" i="1"/>
  <c r="V16" i="1"/>
  <c r="D16" i="1"/>
  <c r="J8" i="1" l="1"/>
  <c r="L8" i="1"/>
  <c r="B8" i="1"/>
  <c r="X5" i="1"/>
  <c r="X24" i="1" s="1"/>
  <c r="X28" i="1" s="1"/>
  <c r="D5" i="1"/>
  <c r="D24" i="1" s="1"/>
  <c r="D28" i="1" s="1"/>
  <c r="F5" i="1"/>
  <c r="F24" i="1" s="1"/>
  <c r="F28" i="1" s="1"/>
  <c r="H5" i="1"/>
  <c r="H24" i="1" s="1"/>
  <c r="H28" i="1" s="1"/>
  <c r="J5" i="1"/>
  <c r="L5" i="1"/>
  <c r="N5" i="1"/>
  <c r="N24" i="1" s="1"/>
  <c r="N28" i="1" s="1"/>
  <c r="P5" i="1"/>
  <c r="P24" i="1" s="1"/>
  <c r="P28" i="1" s="1"/>
  <c r="R5" i="1"/>
  <c r="R24" i="1" s="1"/>
  <c r="R28" i="1" s="1"/>
  <c r="T5" i="1"/>
  <c r="T28" i="1" s="1"/>
  <c r="V5" i="1"/>
  <c r="V24" i="1" s="1"/>
  <c r="V28" i="1" s="1"/>
  <c r="B5" i="1"/>
  <c r="B24" i="1" l="1"/>
  <c r="B28" i="1" s="1"/>
  <c r="L24" i="1"/>
  <c r="L28" i="1" s="1"/>
  <c r="J24" i="1"/>
  <c r="J28" i="1" s="1"/>
  <c r="Z28" i="1" l="1"/>
  <c r="Z24" i="1"/>
</calcChain>
</file>

<file path=xl/sharedStrings.xml><?xml version="1.0" encoding="utf-8"?>
<sst xmlns="http://schemas.openxmlformats.org/spreadsheetml/2006/main" count="206" uniqueCount="100">
  <si>
    <t>PRESSUPOST DE TRESORERIA 2021</t>
  </si>
  <si>
    <t>PREVISIÓ ANUAL PAGAMENTS 2021</t>
  </si>
  <si>
    <t>CONCEPTE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</si>
  <si>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</si>
  <si>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</si>
  <si>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</si>
  <si>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</si>
  <si>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</si>
  <si>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</si>
  <si>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</si>
  <si>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</si>
  <si>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</si>
  <si>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</si>
  <si>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</si>
  <si>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</si>
  <si>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TOTAL</t>
  </si>
  <si>
    <t>Capítol 1 Despeses de personal</t>
  </si>
  <si>
    <t>Nòmines</t>
  </si>
  <si>
    <t>Seguretat Social</t>
  </si>
  <si>
    <t>Proveïdors</t>
  </si>
  <si>
    <t>Capítol 2 Despeses en bens i serveis</t>
  </si>
  <si>
    <t>Capítol 3 Despeses financeres</t>
  </si>
  <si>
    <t>Despeses financeres</t>
  </si>
  <si>
    <t>Capítol 4 Transferències corrents</t>
  </si>
  <si>
    <t>Capítol 5 Fons de contingència</t>
  </si>
  <si>
    <t>Fons de contingència</t>
  </si>
  <si>
    <t>Capítol 6 Inversions reals</t>
  </si>
  <si>
    <t>Capítol 7 Transferències de capital</t>
  </si>
  <si>
    <t>Capítol 8 Actius financers</t>
  </si>
  <si>
    <t>Bestreta</t>
  </si>
  <si>
    <t>TOTAL PREVISIONS PRESSUPOST</t>
  </si>
  <si>
    <t>Pagaments exercicis tancats + romanents</t>
  </si>
  <si>
    <t>Pagaments no pressupostaris</t>
  </si>
  <si>
    <t>Pagaments pendents d'aplicació</t>
  </si>
  <si>
    <t>TOTAL PREVISIONS TRESORERIA</t>
  </si>
  <si>
    <t>Transferències corrents</t>
  </si>
  <si>
    <t>Transferències de capital</t>
  </si>
  <si>
    <t>Passius financers</t>
  </si>
  <si>
    <t>Capítol 9 Passius financers</t>
  </si>
  <si>
    <t>Anco</t>
  </si>
  <si>
    <t>Correus</t>
  </si>
  <si>
    <t>Vodafone</t>
  </si>
  <si>
    <t>Ressa</t>
  </si>
  <si>
    <t>Repsol</t>
  </si>
  <si>
    <t>Via T</t>
  </si>
  <si>
    <t>Associació</t>
  </si>
  <si>
    <t>Iso</t>
  </si>
  <si>
    <t>Medicina trebal</t>
  </si>
  <si>
    <t>Varis</t>
  </si>
  <si>
    <t>Marc de premis (3)</t>
  </si>
  <si>
    <t>impost vehicles</t>
  </si>
  <si>
    <t>Gener</t>
  </si>
  <si>
    <t>Març</t>
  </si>
  <si>
    <t>Abril</t>
  </si>
  <si>
    <t>Maig</t>
  </si>
  <si>
    <t>Juny</t>
  </si>
  <si>
    <t>Juliol</t>
  </si>
  <si>
    <t>Setembre</t>
  </si>
  <si>
    <t>Agost*</t>
  </si>
  <si>
    <t>Octubre</t>
  </si>
  <si>
    <t>Novembre</t>
  </si>
  <si>
    <t>Desembre</t>
  </si>
  <si>
    <t>Copies</t>
  </si>
  <si>
    <t>copies</t>
  </si>
  <si>
    <t>polissa vehicles</t>
  </si>
  <si>
    <t>Con. Informatics</t>
  </si>
  <si>
    <t>Revisions mediques</t>
  </si>
  <si>
    <t>Reparacio vehicles</t>
  </si>
  <si>
    <t xml:space="preserve">Abril </t>
  </si>
  <si>
    <t>Nomina tipus</t>
  </si>
  <si>
    <t>Paga productivitat</t>
  </si>
  <si>
    <t>Ajut per fills</t>
  </si>
  <si>
    <t>Millores socials</t>
  </si>
  <si>
    <t>Millores per edat</t>
  </si>
  <si>
    <t xml:space="preserve">Regularit. Paga productivitat </t>
  </si>
  <si>
    <t>Mesos amb variacions</t>
  </si>
  <si>
    <t xml:space="preserve">Febrer </t>
  </si>
  <si>
    <t xml:space="preserve">Asseg.Associació </t>
  </si>
  <si>
    <t>gen.real</t>
  </si>
  <si>
    <t>feb.real</t>
  </si>
  <si>
    <t xml:space="preserve">IVA I IRPF </t>
  </si>
  <si>
    <t>mar.real</t>
  </si>
  <si>
    <t>abr.real</t>
  </si>
  <si>
    <t>mai.real</t>
  </si>
  <si>
    <t>jun.real</t>
  </si>
  <si>
    <t>jul.real</t>
  </si>
  <si>
    <t>ago.real</t>
  </si>
  <si>
    <t>set.real</t>
  </si>
  <si>
    <t>oct.real</t>
  </si>
  <si>
    <t>nov.real</t>
  </si>
  <si>
    <t>des.real</t>
  </si>
  <si>
    <t>incropr romanent</t>
  </si>
  <si>
    <t>incor ronanents asso</t>
  </si>
  <si>
    <t>Despeses extra</t>
  </si>
  <si>
    <t>agost</t>
  </si>
  <si>
    <t>setembre</t>
  </si>
  <si>
    <t>octubre</t>
  </si>
  <si>
    <t xml:space="preserve">desembre igual a juliol </t>
  </si>
  <si>
    <t>novembre millores i regual.productivitat</t>
  </si>
  <si>
    <t>Imports sense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</si>
</sst>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0" borderId="1" xfId="0" applyFont="1" applyBorder="1"/>
    <xf numFmtId="44" fontId="0" fillId="0" borderId="1" xfId="0" applyNumberFormat="1" applyBorder="1"/>
    <xf numFmtId="0" fontId="1" fillId="0" borderId="1" xfId="0" applyFont="1" applyBorder="1"/>
    <xf numFmtId="0" fontId="1" fillId="4" borderId="1" xfId="0" applyFon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4" fontId="7" fillId="0" borderId="1" xfId="0" applyNumberFormat="1" applyFont="1" applyBorder="1"/>
    <xf numFmtId="0" fontId="0" fillId="0" borderId="1" xfId="0" applyFill="1" applyBorder="1"/>
    <xf numFmtId="164" fontId="0" fillId="0" borderId="2" xfId="0" applyNumberFormat="1" applyBorder="1"/>
    <xf numFmtId="164" fontId="1" fillId="0" borderId="0" xfId="0" applyNumberFormat="1" applyFont="1" applyBorder="1"/>
    <xf numFmtId="164" fontId="0" fillId="0" borderId="0" xfId="0" applyNumberFormat="1" applyBorder="1"/>
    <xf numFmtId="0" fontId="0" fillId="0" borderId="2" xfId="0" applyBorder="1"/>
    <xf numFmtId="164" fontId="1" fillId="0" borderId="3" xfId="0" applyNumberFormat="1" applyFont="1" applyBorder="1"/>
    <xf numFmtId="164" fontId="1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/>
    <xf numFmtId="0" fontId="0" fillId="0" borderId="0" xfId="0" applyBorder="1"/>
    <xf numFmtId="0" fontId="6" fillId="5" borderId="0" xfId="0" applyFont="1" applyFill="1"/>
    <xf numFmtId="0" fontId="0" fillId="5" borderId="0" xfId="0" applyFill="1"/>
    <xf numFmtId="0" fontId="0" fillId="5" borderId="1" xfId="0" applyFill="1" applyBorder="1"/>
    <xf numFmtId="164" fontId="0" fillId="5" borderId="1" xfId="0" applyNumberFormat="1" applyFill="1" applyBorder="1"/>
    <xf numFmtId="0" fontId="0" fillId="0" borderId="4" xfId="0" applyBorder="1"/>
    <xf numFmtId="164" fontId="0" fillId="0" borderId="4" xfId="0" applyNumberFormat="1" applyBorder="1"/>
    <xf numFmtId="44" fontId="0" fillId="0" borderId="0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164" fontId="1" fillId="4" borderId="1" xfId="0" applyNumberFormat="1" applyFont="1" applyFill="1" applyBorder="1"/>
    <xf numFmtId="164" fontId="0" fillId="0" borderId="1" xfId="0" applyNumberFormat="1" applyFill="1" applyBorder="1"/>
    <xf numFmtId="164" fontId="8" fillId="4" borderId="1" xfId="0" applyNumberFormat="1" applyFont="1" applyFill="1" applyBorder="1"/>
    <xf numFmtId="164" fontId="0" fillId="4" borderId="1" xfId="0" applyNumberFormat="1" applyFill="1" applyBorder="1"/>
    <xf numFmtId="164" fontId="0" fillId="3" borderId="1" xfId="0" applyNumberFormat="1" applyFont="1" applyFill="1" applyBorder="1"/>
    <xf numFmtId="164" fontId="0" fillId="3" borderId="1" xfId="0" applyNumberFormat="1" applyFill="1" applyBorder="1"/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4" fontId="0" fillId="0" borderId="0" xfId="0" applyNumberFormat="1"/>
    <xf numFmtId="164" fontId="10" fillId="3" borderId="1" xfId="0" applyNumberFormat="1" applyFont="1" applyFill="1" applyBorder="1"/>
    <xf numFmtId="9" fontId="0" fillId="0" borderId="0" xfId="0" applyNumberFormat="1"/>
    <xf numFmtId="4" fontId="0" fillId="0" borderId="1" xfId="0" applyNumberFormat="1" applyBorder="1"/>
    <xf numFmtId="0" fontId="11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0" fillId="0" borderId="1" xfId="0" applyNumberFormat="1" applyFont="1" applyFill="1" applyBorder="1"/>
    <xf numFmtId="0" fontId="4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PAGAMENTS 2021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elete val="1"/>
          </c:dLbls>
          <c:cat>
            <c:strRef>
              <c:f>Pagaments!$B$4:$X$4</c:f>
              <c:strCache>
                <c:ptCount val="23"/>
                <c:pt idx="0">
                  <c:v>gen</c:v>
                </c:pt>
                <c:pt idx="1">
                  <c:v>gen.real</c:v>
                </c:pt>
                <c:pt idx="2">
                  <c:v>feb</c:v>
                </c:pt>
                <c:pt idx="3">
                  <c:v>feb.real</c:v>
                </c:pt>
                <c:pt idx="4">
                  <c:v>mar</c:v>
                </c:pt>
                <c:pt idx="5">
                  <c:v>mar.real</c:v>
                </c:pt>
                <c:pt idx="6">
                  <c:v>abr</c:v>
                </c:pt>
                <c:pt idx="7">
                  <c:v>abr.real</c:v>
                </c:pt>
                <c:pt idx="8">
                  <c:v>mai</c:v>
                </c:pt>
                <c:pt idx="9">
                  <c:v>mai.real</c:v>
                </c:pt>
                <c:pt idx="10">
                  <c:v>jun</c:v>
                </c:pt>
                <c:pt idx="11">
                  <c:v>jun.real</c:v>
                </c:pt>
                <c:pt idx="12">
                  <c:v>jul</c:v>
                </c:pt>
                <c:pt idx="13">
                  <c:v>jul.real</c:v>
                </c:pt>
                <c:pt idx="14">
                  <c:v>ago</c:v>
                </c:pt>
                <c:pt idx="15">
                  <c:v>ago.real</c:v>
                </c:pt>
                <c:pt idx="16">
                  <c:v>set</c:v>
                </c:pt>
                <c:pt idx="17">
                  <c:v>set.real</c:v>
                </c:pt>
                <c:pt idx="18">
                  <c:v>oct</c:v>
                </c:pt>
                <c:pt idx="19">
                  <c:v>oct.real</c:v>
                </c:pt>
                <c:pt idx="20">
                  <c:v>nov</c:v>
                </c:pt>
                <c:pt idx="21">
                  <c:v>nov.real</c:v>
                </c:pt>
                <c:pt idx="22">
                  <c:v>des</c:v>
                </c:pt>
              </c:strCache>
            </c:strRef>
          </c:cat>
          <c:val>
            <c:numRef>
              <c:f>Pagaments!$B$28:$X$28</c:f>
              <c:numCache>
                <c:formatCode>#,##0.00\ "€"</c:formatCode>
                <c:ptCount val="23"/>
                <c:pt idx="0">
                  <c:v>84372.35</c:v>
                </c:pt>
                <c:pt idx="1">
                  <c:v>80268.039999999994</c:v>
                </c:pt>
                <c:pt idx="2">
                  <c:v>191661.69</c:v>
                </c:pt>
                <c:pt idx="3">
                  <c:v>84451.29</c:v>
                </c:pt>
                <c:pt idx="4">
                  <c:v>130576.55</c:v>
                </c:pt>
                <c:pt idx="5">
                  <c:v>169168.38</c:v>
                </c:pt>
                <c:pt idx="6">
                  <c:v>161442.35</c:v>
                </c:pt>
                <c:pt idx="7">
                  <c:v>144463.01</c:v>
                </c:pt>
                <c:pt idx="8">
                  <c:v>130970.35</c:v>
                </c:pt>
                <c:pt idx="9">
                  <c:v>110526.79000000001</c:v>
                </c:pt>
                <c:pt idx="10">
                  <c:v>183642.34999999998</c:v>
                </c:pt>
                <c:pt idx="11">
                  <c:v>355182.64</c:v>
                </c:pt>
                <c:pt idx="12">
                  <c:v>130942.35</c:v>
                </c:pt>
                <c:pt idx="13">
                  <c:v>110596.4</c:v>
                </c:pt>
                <c:pt idx="14">
                  <c:v>83792.350000000006</c:v>
                </c:pt>
                <c:pt idx="15">
                  <c:v>77436.010000000009</c:v>
                </c:pt>
                <c:pt idx="16">
                  <c:v>156392.35</c:v>
                </c:pt>
                <c:pt idx="17">
                  <c:v>131320.43</c:v>
                </c:pt>
                <c:pt idx="18">
                  <c:v>129642.35</c:v>
                </c:pt>
                <c:pt idx="19">
                  <c:v>119933.54000000001</c:v>
                </c:pt>
                <c:pt idx="20">
                  <c:v>126842.35</c:v>
                </c:pt>
                <c:pt idx="21">
                  <c:v>112113.23</c:v>
                </c:pt>
                <c:pt idx="22">
                  <c:v>184942.34999999998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51776"/>
        <c:axId val="70935680"/>
      </c:lineChart>
      <c:catAx>
        <c:axId val="6265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70935680"/>
        <c:crosses val="autoZero"/>
        <c:auto val="1"/>
        <c:lblAlgn val="ctr"/>
        <c:lblOffset val="100"/>
        <c:noMultiLvlLbl val="0"/>
      </c:catAx>
      <c:valAx>
        <c:axId val="70935680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62651776"/>
        <c:crosses val="autoZero"/>
        <c:crossBetween val="between"/>
      </c:valAx>
      <c:spPr>
        <a:gradFill>
          <a:gsLst>
            <a:gs pos="0">
              <a:schemeClr val="tx2">
                <a:lumMod val="40000"/>
                <a:lumOff val="6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30</xdr:row>
      <xdr:rowOff>47625</xdr:rowOff>
    </xdr:from>
    <xdr:to>
      <xdr:col>21</xdr:col>
      <xdr:colOff>66675</xdr:colOff>
      <xdr:row>47</xdr:row>
      <xdr:rowOff>38100</xdr:rowOff>
    </xdr:to>
    <xdr:graphicFrame macro="">
      <xdr:nvGraphicFramePr>
        <xdr:cNvPr id="2" name="1 Gráfico" descr="PAGAMENTS 2021&#10;" title="PAGAMENTS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B1" zoomScale="80" zoomScaleNormal="80" workbookViewId="0">
      <selection activeCell="D25" sqref="D25"/>
    </sheetView>
  </sheetViews>
  <sheetFormatPr baseColWidth="10" defaultRowHeight="15" x14ac:dyDescent="0.25"/>
  <cols>
    <col min="1" max="1" width="37.7109375" bestFit="1" customWidth="1"/>
    <col min="2" max="2" width="11.5703125" bestFit="1" customWidth="1"/>
    <col min="3" max="3" width="12" customWidth="1"/>
    <col min="4" max="4" width="12.42578125" bestFit="1" customWidth="1"/>
    <col min="5" max="5" width="11.5703125" customWidth="1"/>
    <col min="6" max="6" width="12.42578125" customWidth="1"/>
    <col min="7" max="7" width="13" customWidth="1"/>
    <col min="8" max="8" width="12.42578125" customWidth="1"/>
    <col min="9" max="9" width="12.140625" customWidth="1"/>
    <col min="10" max="11" width="12.42578125" bestFit="1" customWidth="1"/>
    <col min="12" max="12" width="12.28515625" customWidth="1"/>
    <col min="13" max="13" width="12.5703125" customWidth="1"/>
    <col min="14" max="15" width="12.42578125" bestFit="1" customWidth="1"/>
    <col min="16" max="16" width="11.5703125" customWidth="1"/>
    <col min="17" max="17" width="11.42578125" bestFit="1" customWidth="1"/>
    <col min="18" max="23" width="12.42578125" bestFit="1" customWidth="1"/>
    <col min="24" max="24" width="12.140625" customWidth="1"/>
    <col min="25" max="25" width="12.42578125" bestFit="1" customWidth="1"/>
    <col min="26" max="26" width="14.140625" bestFit="1" customWidth="1"/>
  </cols>
  <sheetData>
    <row r="1" spans="1:27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ht="15.7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ht="15.75" x14ac:dyDescent="0.25">
      <c r="A3" s="44" t="s">
        <v>99</v>
      </c>
      <c r="B3" s="45"/>
      <c r="C3" s="45"/>
      <c r="D3" s="45"/>
      <c r="E3" s="45"/>
      <c r="F3" s="45"/>
      <c r="G3" s="45"/>
      <c r="H3" s="45"/>
      <c r="I3" s="45"/>
      <c r="J3" s="45"/>
      <c r="K3" s="38"/>
    </row>
    <row r="4" spans="1:27" x14ac:dyDescent="0.25">
      <c r="A4" s="2" t="s">
        <v>2</v>
      </c>
      <c r="B4" s="2" t="s">
        <v>3</v>
      </c>
      <c r="C4" s="39" t="s">
        <v>78</v>
      </c>
      <c r="D4" s="2" t="s">
        <v>4</v>
      </c>
      <c r="E4" s="39" t="s">
        <v>79</v>
      </c>
      <c r="F4" s="2" t="s">
        <v>5</v>
      </c>
      <c r="G4" s="39" t="s">
        <v>81</v>
      </c>
      <c r="H4" s="2" t="s">
        <v>6</v>
      </c>
      <c r="I4" s="39" t="s">
        <v>82</v>
      </c>
      <c r="J4" s="2" t="s">
        <v>7</v>
      </c>
      <c r="K4" s="39" t="s">
        <v>83</v>
      </c>
      <c r="L4" s="2" t="s">
        <v>8</v>
      </c>
      <c r="M4" s="39" t="s">
        <v>84</v>
      </c>
      <c r="N4" s="2" t="s">
        <v>9</v>
      </c>
      <c r="O4" s="39" t="s">
        <v>85</v>
      </c>
      <c r="P4" s="2" t="s">
        <v>10</v>
      </c>
      <c r="Q4" s="39" t="s">
        <v>86</v>
      </c>
      <c r="R4" s="2" t="s">
        <v>11</v>
      </c>
      <c r="S4" s="39" t="s">
        <v>87</v>
      </c>
      <c r="T4" s="2" t="s">
        <v>12</v>
      </c>
      <c r="U4" s="39" t="s">
        <v>88</v>
      </c>
      <c r="V4" s="2" t="s">
        <v>13</v>
      </c>
      <c r="W4" s="39" t="s">
        <v>89</v>
      </c>
      <c r="X4" s="2" t="s">
        <v>14</v>
      </c>
      <c r="Y4" s="39" t="s">
        <v>90</v>
      </c>
      <c r="Z4" s="3" t="s">
        <v>15</v>
      </c>
    </row>
    <row r="5" spans="1:27" x14ac:dyDescent="0.25">
      <c r="A5" s="7" t="s">
        <v>16</v>
      </c>
      <c r="B5" s="32">
        <f>B6+B7</f>
        <v>81759.02</v>
      </c>
      <c r="C5" s="32">
        <f>C6+C7</f>
        <v>75977.17</v>
      </c>
      <c r="D5" s="32">
        <f t="shared" ref="D5:X5" si="0">D6+D7</f>
        <v>81759.02</v>
      </c>
      <c r="E5" s="32">
        <f>SUM(E6:E7)</f>
        <v>76480.75</v>
      </c>
      <c r="F5" s="32">
        <f t="shared" si="0"/>
        <v>82874.02</v>
      </c>
      <c r="G5" s="32">
        <f t="shared" si="0"/>
        <v>77785.98000000001</v>
      </c>
      <c r="H5" s="32">
        <f t="shared" si="0"/>
        <v>116759.02</v>
      </c>
      <c r="I5" s="32">
        <f>I6+I7</f>
        <v>111352.53</v>
      </c>
      <c r="J5" s="32">
        <f t="shared" si="0"/>
        <v>89759.02</v>
      </c>
      <c r="K5" s="32">
        <f>K6+K7</f>
        <v>83045.47</v>
      </c>
      <c r="L5" s="32">
        <f>L6+L7</f>
        <v>143759.01999999999</v>
      </c>
      <c r="M5" s="32">
        <f>M6+M7</f>
        <v>130374.33</v>
      </c>
      <c r="N5" s="32">
        <f t="shared" si="0"/>
        <v>81759.02</v>
      </c>
      <c r="O5" s="32">
        <f>O6+O7</f>
        <v>75819.44</v>
      </c>
      <c r="P5" s="32">
        <f t="shared" si="0"/>
        <v>81759.02</v>
      </c>
      <c r="Q5" s="32">
        <f>Q6+Q7</f>
        <v>74958.010000000009</v>
      </c>
      <c r="R5" s="32">
        <f t="shared" si="0"/>
        <v>81759.02</v>
      </c>
      <c r="S5" s="32">
        <f>S6+S7</f>
        <v>75640.83</v>
      </c>
      <c r="T5" s="32">
        <f t="shared" si="0"/>
        <v>81759.02</v>
      </c>
      <c r="U5" s="32">
        <f t="shared" si="0"/>
        <v>81693.69</v>
      </c>
      <c r="V5" s="32">
        <f t="shared" si="0"/>
        <v>90259.02</v>
      </c>
      <c r="W5" s="32">
        <f>W6+W7+845</f>
        <v>83559</v>
      </c>
      <c r="X5" s="32">
        <f t="shared" si="0"/>
        <v>143759.01999999999</v>
      </c>
      <c r="Y5" s="32">
        <f>Y6+Y7</f>
        <v>142247.97</v>
      </c>
      <c r="Z5" s="32">
        <f>SUM(B5:Y5)</f>
        <v>2246658.41</v>
      </c>
      <c r="AA5" s="1"/>
    </row>
    <row r="6" spans="1:27" x14ac:dyDescent="0.25">
      <c r="A6" s="4" t="s">
        <v>17</v>
      </c>
      <c r="B6" s="10">
        <v>62000</v>
      </c>
      <c r="C6" s="10">
        <v>57409.45</v>
      </c>
      <c r="D6" s="10">
        <v>62000</v>
      </c>
      <c r="E6" s="10">
        <v>58710.54</v>
      </c>
      <c r="F6" s="10">
        <f>'Previsio nomina cap 1'!D6</f>
        <v>63115</v>
      </c>
      <c r="G6" s="10">
        <v>59821.69</v>
      </c>
      <c r="H6" s="33">
        <f>'Previsio nomina cap 1'!D9</f>
        <v>97000</v>
      </c>
      <c r="I6" s="33">
        <v>95774.3</v>
      </c>
      <c r="J6" s="33">
        <f>'Previsio nomina cap 1'!D12</f>
        <v>70000</v>
      </c>
      <c r="K6" s="33">
        <v>63663.56</v>
      </c>
      <c r="L6" s="33">
        <f>B6*2</f>
        <v>124000</v>
      </c>
      <c r="M6" s="33">
        <v>111765.89</v>
      </c>
      <c r="N6" s="33">
        <v>62000</v>
      </c>
      <c r="O6" s="33">
        <v>57404.94</v>
      </c>
      <c r="P6" s="33">
        <v>62000</v>
      </c>
      <c r="Q6" s="33">
        <v>57323.86</v>
      </c>
      <c r="R6" s="33">
        <v>62000</v>
      </c>
      <c r="S6" s="33">
        <v>57279.44</v>
      </c>
      <c r="T6" s="33">
        <v>62000</v>
      </c>
      <c r="U6" s="33">
        <v>63139.69</v>
      </c>
      <c r="V6" s="33">
        <f>'Previsio nomina cap 1'!D17</f>
        <v>70500</v>
      </c>
      <c r="W6" s="33">
        <f>63855.41</f>
        <v>63855.41</v>
      </c>
      <c r="X6" s="10">
        <f>B6*2</f>
        <v>124000</v>
      </c>
      <c r="Y6" s="10">
        <v>122069.82</v>
      </c>
      <c r="Z6" s="10">
        <f>SUM(B6:Y6)</f>
        <v>1788833.59</v>
      </c>
    </row>
    <row r="7" spans="1:27" x14ac:dyDescent="0.25">
      <c r="A7" s="4" t="s">
        <v>18</v>
      </c>
      <c r="B7" s="10">
        <v>19759.02</v>
      </c>
      <c r="C7" s="10">
        <f>6907.33+11660.39</f>
        <v>18567.72</v>
      </c>
      <c r="D7" s="10">
        <v>19759.02</v>
      </c>
      <c r="E7" s="10">
        <f>17725.21+45</f>
        <v>17770.21</v>
      </c>
      <c r="F7" s="10">
        <v>19759.02</v>
      </c>
      <c r="G7" s="10">
        <f>17964.29</f>
        <v>17964.29</v>
      </c>
      <c r="H7" s="10">
        <v>19759.02</v>
      </c>
      <c r="I7" s="10">
        <f>15578.23</f>
        <v>15578.23</v>
      </c>
      <c r="J7" s="10">
        <v>19759.02</v>
      </c>
      <c r="K7" s="10">
        <f>19381.91</f>
        <v>19381.91</v>
      </c>
      <c r="L7" s="10">
        <v>19759.02</v>
      </c>
      <c r="M7" s="10">
        <f>7050.8+11410.97+146.67</f>
        <v>18608.439999999999</v>
      </c>
      <c r="N7" s="10">
        <v>19759.02</v>
      </c>
      <c r="O7" s="10">
        <f>7003.74+11410.76</f>
        <v>18414.5</v>
      </c>
      <c r="P7" s="10">
        <v>19759.02</v>
      </c>
      <c r="Q7" s="10">
        <v>17634.150000000001</v>
      </c>
      <c r="R7" s="10">
        <v>19759.02</v>
      </c>
      <c r="S7" s="10">
        <f>11410.45+6950.94</f>
        <v>18361.39</v>
      </c>
      <c r="T7" s="10">
        <v>19759.02</v>
      </c>
      <c r="U7" s="10">
        <v>18554</v>
      </c>
      <c r="V7" s="10">
        <v>19759.02</v>
      </c>
      <c r="W7" s="10">
        <f>16618.67+2239.92</f>
        <v>18858.589999999997</v>
      </c>
      <c r="X7" s="10">
        <v>19759.02</v>
      </c>
      <c r="Y7" s="10">
        <f>20178.15</f>
        <v>20178.150000000001</v>
      </c>
      <c r="Z7" s="10">
        <f>SUM(B7:Y7)</f>
        <v>456979.82000000007</v>
      </c>
    </row>
    <row r="8" spans="1:27" x14ac:dyDescent="0.25">
      <c r="A8" s="7" t="s">
        <v>20</v>
      </c>
      <c r="B8" s="32">
        <f t="shared" ref="B8:H8" si="1">B9</f>
        <v>780</v>
      </c>
      <c r="C8" s="32">
        <f t="shared" si="1"/>
        <v>715.31</v>
      </c>
      <c r="D8" s="32">
        <f t="shared" si="1"/>
        <v>71600</v>
      </c>
      <c r="E8" s="32">
        <f t="shared" si="1"/>
        <v>2590.4499999999998</v>
      </c>
      <c r="F8" s="32">
        <f t="shared" si="1"/>
        <v>33750</v>
      </c>
      <c r="G8" s="32">
        <f t="shared" si="1"/>
        <v>91346.4</v>
      </c>
      <c r="H8" s="34">
        <f t="shared" si="1"/>
        <v>42750</v>
      </c>
      <c r="I8" s="34">
        <f>I9</f>
        <v>33146.480000000003</v>
      </c>
      <c r="J8" s="32">
        <f t="shared" ref="J8:L8" si="2">J9</f>
        <v>36878</v>
      </c>
      <c r="K8" s="32">
        <f>K9</f>
        <v>27481.32</v>
      </c>
      <c r="L8" s="32">
        <f t="shared" si="2"/>
        <v>33750</v>
      </c>
      <c r="M8" s="32">
        <f>M9</f>
        <v>34029.64</v>
      </c>
      <c r="N8" s="34">
        <f t="shared" ref="N8:X8" si="3">N9</f>
        <v>46350</v>
      </c>
      <c r="O8" s="34">
        <f>O9</f>
        <v>34776.959999999999</v>
      </c>
      <c r="P8" s="32">
        <f t="shared" si="3"/>
        <v>200</v>
      </c>
      <c r="Q8" s="32">
        <f>Q9</f>
        <v>2478</v>
      </c>
      <c r="R8" s="32">
        <f t="shared" si="3"/>
        <v>67300</v>
      </c>
      <c r="S8" s="32">
        <f>S9</f>
        <v>55679.6</v>
      </c>
      <c r="T8" s="32">
        <f t="shared" si="3"/>
        <v>45050</v>
      </c>
      <c r="U8" s="32">
        <f t="shared" si="3"/>
        <v>38239.85</v>
      </c>
      <c r="V8" s="32">
        <f t="shared" si="3"/>
        <v>33750</v>
      </c>
      <c r="W8" s="32">
        <f>W9</f>
        <v>28554.23</v>
      </c>
      <c r="X8" s="32">
        <f t="shared" si="3"/>
        <v>34350</v>
      </c>
      <c r="Y8" s="32">
        <f>Y9</f>
        <v>30643.79</v>
      </c>
      <c r="Z8" s="35">
        <f>SUM(B8:Y8)</f>
        <v>826190.03</v>
      </c>
      <c r="AA8" s="1"/>
    </row>
    <row r="9" spans="1:27" s="50" customFormat="1" x14ac:dyDescent="0.25">
      <c r="A9" s="49" t="s">
        <v>19</v>
      </c>
      <c r="B9" s="33">
        <f>'Previsio despeses cap 2'!D11</f>
        <v>780</v>
      </c>
      <c r="C9" s="33">
        <v>715.31</v>
      </c>
      <c r="D9" s="33">
        <f>'Previsio despeses cap 2'!D27</f>
        <v>71600</v>
      </c>
      <c r="E9" s="33">
        <v>2590.4499999999998</v>
      </c>
      <c r="F9" s="33">
        <f>'Previsio despeses cap 2'!D37</f>
        <v>33750</v>
      </c>
      <c r="G9" s="33">
        <v>91346.4</v>
      </c>
      <c r="H9" s="33">
        <f>'Previsio despeses cap 2'!I15</f>
        <v>42750</v>
      </c>
      <c r="I9" s="33">
        <v>33146.480000000003</v>
      </c>
      <c r="J9" s="33">
        <f>'Previsio despeses cap 2'!I27</f>
        <v>36878</v>
      </c>
      <c r="K9" s="33">
        <v>27481.32</v>
      </c>
      <c r="L9" s="33">
        <f>'Previsio despeses cap 2'!I37</f>
        <v>33750</v>
      </c>
      <c r="M9" s="33">
        <f>34029.64</f>
        <v>34029.64</v>
      </c>
      <c r="N9" s="33">
        <f>'Previsio despeses cap 2'!N17</f>
        <v>46350</v>
      </c>
      <c r="O9" s="33">
        <v>34776.959999999999</v>
      </c>
      <c r="P9" s="33">
        <f>'Previsio despeses cap 2'!N26</f>
        <v>200</v>
      </c>
      <c r="Q9" s="33">
        <v>2478</v>
      </c>
      <c r="R9" s="33">
        <f>'Previsio despeses cap 2'!N37</f>
        <v>67300</v>
      </c>
      <c r="S9" s="33">
        <v>55679.6</v>
      </c>
      <c r="T9" s="33">
        <f>'Previsio despeses cap 2'!S15</f>
        <v>45050</v>
      </c>
      <c r="U9" s="33">
        <v>38239.85</v>
      </c>
      <c r="V9" s="33">
        <f>'Previsio despeses cap 2'!S26</f>
        <v>33750</v>
      </c>
      <c r="W9" s="33">
        <v>28554.23</v>
      </c>
      <c r="X9" s="33">
        <f>'Previsio despeses cap 2'!S38</f>
        <v>34350</v>
      </c>
      <c r="Y9" s="33">
        <v>30643.79</v>
      </c>
      <c r="Z9" s="33">
        <f>SUM(B9:Y9)</f>
        <v>826190.03</v>
      </c>
    </row>
    <row r="10" spans="1:27" x14ac:dyDescent="0.25">
      <c r="A10" s="7" t="s">
        <v>21</v>
      </c>
      <c r="B10" s="32">
        <f t="shared" ref="B10:X10" si="4">B11</f>
        <v>1833.33</v>
      </c>
      <c r="C10" s="32">
        <f>C11</f>
        <v>3575.56</v>
      </c>
      <c r="D10" s="32">
        <f t="shared" si="4"/>
        <v>1833.33</v>
      </c>
      <c r="E10" s="32">
        <f>E11</f>
        <v>1822.09</v>
      </c>
      <c r="F10" s="32">
        <f t="shared" si="4"/>
        <v>1833.33</v>
      </c>
      <c r="G10" s="32">
        <f>G11</f>
        <v>36</v>
      </c>
      <c r="H10" s="32">
        <f>F10</f>
        <v>1833.33</v>
      </c>
      <c r="I10" s="32">
        <f>I11</f>
        <v>-36</v>
      </c>
      <c r="J10" s="32">
        <f>H10</f>
        <v>1833.33</v>
      </c>
      <c r="K10" s="32"/>
      <c r="L10" s="32">
        <f t="shared" si="4"/>
        <v>1833.33</v>
      </c>
      <c r="M10" s="32"/>
      <c r="N10" s="32">
        <f t="shared" si="4"/>
        <v>1833.33</v>
      </c>
      <c r="O10" s="32"/>
      <c r="P10" s="32">
        <f t="shared" si="4"/>
        <v>1833.33</v>
      </c>
      <c r="Q10" s="32"/>
      <c r="R10" s="32">
        <f t="shared" si="4"/>
        <v>1833.33</v>
      </c>
      <c r="S10" s="32"/>
      <c r="T10" s="32">
        <f t="shared" si="4"/>
        <v>1833.33</v>
      </c>
      <c r="U10" s="32"/>
      <c r="V10" s="32">
        <f t="shared" si="4"/>
        <v>1833.33</v>
      </c>
      <c r="W10" s="32"/>
      <c r="X10" s="32">
        <f t="shared" si="4"/>
        <v>1833.33</v>
      </c>
      <c r="Y10" s="32"/>
      <c r="Z10" s="32">
        <f>SUM(B10:Y10)</f>
        <v>27397.610000000008</v>
      </c>
    </row>
    <row r="11" spans="1:27" x14ac:dyDescent="0.25">
      <c r="A11" s="4" t="s">
        <v>22</v>
      </c>
      <c r="B11" s="10">
        <v>1833.33</v>
      </c>
      <c r="C11" s="10">
        <f>72+3503.56</f>
        <v>3575.56</v>
      </c>
      <c r="D11" s="10">
        <v>1833.33</v>
      </c>
      <c r="E11" s="10">
        <f>1821.61+0.48</f>
        <v>1822.09</v>
      </c>
      <c r="F11" s="10">
        <v>1833.33</v>
      </c>
      <c r="G11" s="10">
        <v>36</v>
      </c>
      <c r="H11" s="10">
        <v>1833.33</v>
      </c>
      <c r="I11" s="10">
        <v>-36</v>
      </c>
      <c r="J11" s="10">
        <v>1833.33</v>
      </c>
      <c r="K11" s="10"/>
      <c r="L11" s="10">
        <v>1833.33</v>
      </c>
      <c r="M11" s="10"/>
      <c r="N11" s="10">
        <v>1833.33</v>
      </c>
      <c r="O11" s="10"/>
      <c r="P11" s="10">
        <v>1833.33</v>
      </c>
      <c r="Q11" s="10"/>
      <c r="R11" s="10">
        <v>1833.33</v>
      </c>
      <c r="S11" s="10"/>
      <c r="T11" s="10">
        <v>1833.33</v>
      </c>
      <c r="U11" s="10"/>
      <c r="V11" s="10">
        <v>1833.33</v>
      </c>
      <c r="W11" s="10"/>
      <c r="X11" s="10">
        <v>1833.33</v>
      </c>
      <c r="Y11" s="10"/>
      <c r="Z11" s="10">
        <f>SUM(B11:Y11)</f>
        <v>27397.610000000008</v>
      </c>
    </row>
    <row r="12" spans="1:27" x14ac:dyDescent="0.25">
      <c r="A12" s="7" t="s">
        <v>23</v>
      </c>
      <c r="B12" s="32">
        <v>0</v>
      </c>
      <c r="C12" s="32"/>
      <c r="D12" s="32">
        <v>0</v>
      </c>
      <c r="E12" s="32"/>
      <c r="F12" s="32">
        <v>0</v>
      </c>
      <c r="G12" s="32"/>
      <c r="H12" s="32">
        <v>0</v>
      </c>
      <c r="I12" s="32"/>
      <c r="J12" s="32">
        <v>0</v>
      </c>
      <c r="K12" s="32"/>
      <c r="L12" s="32">
        <v>0</v>
      </c>
      <c r="M12" s="32"/>
      <c r="N12" s="32">
        <v>0</v>
      </c>
      <c r="O12" s="32"/>
      <c r="P12" s="32">
        <v>0</v>
      </c>
      <c r="Q12" s="32"/>
      <c r="R12" s="32">
        <v>0</v>
      </c>
      <c r="S12" s="32"/>
      <c r="T12" s="32">
        <v>0</v>
      </c>
      <c r="U12" s="32"/>
      <c r="V12" s="32">
        <v>0</v>
      </c>
      <c r="W12" s="32"/>
      <c r="X12" s="32">
        <v>0</v>
      </c>
      <c r="Y12" s="32"/>
      <c r="Z12" s="32">
        <v>0</v>
      </c>
    </row>
    <row r="13" spans="1:27" x14ac:dyDescent="0.25">
      <c r="A13" s="4" t="s">
        <v>35</v>
      </c>
      <c r="B13" s="10">
        <v>0</v>
      </c>
      <c r="C13" s="10"/>
      <c r="D13" s="10">
        <v>0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0</v>
      </c>
      <c r="O13" s="10"/>
      <c r="P13" s="10">
        <v>0</v>
      </c>
      <c r="Q13" s="10"/>
      <c r="R13" s="10">
        <v>0</v>
      </c>
      <c r="S13" s="10"/>
      <c r="T13" s="10">
        <v>0</v>
      </c>
      <c r="U13" s="10"/>
      <c r="V13" s="10">
        <v>0</v>
      </c>
      <c r="W13" s="10"/>
      <c r="X13" s="10">
        <v>0</v>
      </c>
      <c r="Y13" s="10"/>
      <c r="Z13" s="10">
        <v>0</v>
      </c>
    </row>
    <row r="14" spans="1:27" x14ac:dyDescent="0.25">
      <c r="A14" s="7" t="s">
        <v>24</v>
      </c>
      <c r="B14" s="32">
        <v>0</v>
      </c>
      <c r="C14" s="32"/>
      <c r="D14" s="32">
        <v>0</v>
      </c>
      <c r="E14" s="32"/>
      <c r="F14" s="32">
        <v>0</v>
      </c>
      <c r="G14" s="32"/>
      <c r="H14" s="32">
        <v>0</v>
      </c>
      <c r="I14" s="32"/>
      <c r="J14" s="32">
        <v>0</v>
      </c>
      <c r="K14" s="32"/>
      <c r="L14" s="32">
        <v>0</v>
      </c>
      <c r="M14" s="32"/>
      <c r="N14" s="32">
        <v>0</v>
      </c>
      <c r="O14" s="32"/>
      <c r="P14" s="32">
        <v>0</v>
      </c>
      <c r="Q14" s="32"/>
      <c r="R14" s="32">
        <v>0</v>
      </c>
      <c r="S14" s="32"/>
      <c r="T14" s="32">
        <v>0</v>
      </c>
      <c r="U14" s="32"/>
      <c r="V14" s="32">
        <v>0</v>
      </c>
      <c r="W14" s="32"/>
      <c r="X14" s="32">
        <v>0</v>
      </c>
      <c r="Y14" s="32"/>
      <c r="Z14" s="32">
        <v>0</v>
      </c>
    </row>
    <row r="15" spans="1:27" x14ac:dyDescent="0.25">
      <c r="A15" s="4" t="s">
        <v>25</v>
      </c>
      <c r="B15" s="10">
        <v>0</v>
      </c>
      <c r="C15" s="10"/>
      <c r="D15" s="10">
        <v>0</v>
      </c>
      <c r="E15" s="10"/>
      <c r="F15" s="10">
        <v>0</v>
      </c>
      <c r="G15" s="10"/>
      <c r="H15" s="10">
        <v>0</v>
      </c>
      <c r="I15" s="10"/>
      <c r="J15" s="10">
        <v>0</v>
      </c>
      <c r="K15" s="10"/>
      <c r="L15" s="10">
        <v>0</v>
      </c>
      <c r="M15" s="10"/>
      <c r="N15" s="10">
        <v>0</v>
      </c>
      <c r="O15" s="10"/>
      <c r="P15" s="10">
        <v>0</v>
      </c>
      <c r="Q15" s="10"/>
      <c r="R15" s="10">
        <v>0</v>
      </c>
      <c r="S15" s="10"/>
      <c r="T15" s="10">
        <v>0</v>
      </c>
      <c r="U15" s="10"/>
      <c r="V15" s="10">
        <v>0</v>
      </c>
      <c r="W15" s="10"/>
      <c r="X15" s="10">
        <v>0</v>
      </c>
      <c r="Y15" s="10"/>
      <c r="Z15" s="10">
        <v>0</v>
      </c>
    </row>
    <row r="16" spans="1:27" x14ac:dyDescent="0.25">
      <c r="A16" s="7" t="s">
        <v>26</v>
      </c>
      <c r="B16" s="32">
        <v>0</v>
      </c>
      <c r="C16" s="32"/>
      <c r="D16" s="32">
        <f>D17</f>
        <v>2500</v>
      </c>
      <c r="E16" s="32">
        <f>E17</f>
        <v>3558</v>
      </c>
      <c r="F16" s="32">
        <f>F17</f>
        <v>1000</v>
      </c>
      <c r="G16" s="32"/>
      <c r="H16" s="32">
        <f>H17</f>
        <v>100</v>
      </c>
      <c r="I16" s="32"/>
      <c r="J16" s="32">
        <f t="shared" ref="J16:V16" si="5">J17</f>
        <v>2500</v>
      </c>
      <c r="K16" s="32"/>
      <c r="L16" s="32">
        <f>L17</f>
        <v>1300</v>
      </c>
      <c r="M16" s="32"/>
      <c r="N16" s="32">
        <f>N17</f>
        <v>1000</v>
      </c>
      <c r="O16" s="32"/>
      <c r="P16" s="32">
        <f>P17</f>
        <v>0</v>
      </c>
      <c r="Q16" s="32"/>
      <c r="R16" s="32">
        <f t="shared" si="5"/>
        <v>2500</v>
      </c>
      <c r="S16" s="32"/>
      <c r="T16" s="32">
        <f t="shared" si="5"/>
        <v>1000</v>
      </c>
      <c r="U16" s="32"/>
      <c r="V16" s="32">
        <f t="shared" si="5"/>
        <v>1000</v>
      </c>
      <c r="W16" s="32"/>
      <c r="X16" s="32">
        <f>X17</f>
        <v>2000</v>
      </c>
      <c r="Y16" s="32"/>
      <c r="Z16" s="32">
        <f>SUM(B16:Y16)</f>
        <v>18458</v>
      </c>
    </row>
    <row r="17" spans="1:26" x14ac:dyDescent="0.25">
      <c r="A17" s="4" t="s">
        <v>19</v>
      </c>
      <c r="B17" s="10">
        <v>0</v>
      </c>
      <c r="C17" s="10"/>
      <c r="D17" s="10">
        <v>2500</v>
      </c>
      <c r="E17" s="10">
        <f>3558</f>
        <v>3558</v>
      </c>
      <c r="F17" s="10">
        <v>1000</v>
      </c>
      <c r="G17" s="10"/>
      <c r="H17" s="10">
        <v>100</v>
      </c>
      <c r="I17" s="10"/>
      <c r="J17" s="10">
        <v>2500</v>
      </c>
      <c r="K17" s="10"/>
      <c r="L17" s="10">
        <v>1300</v>
      </c>
      <c r="M17" s="10"/>
      <c r="N17" s="10">
        <v>1000</v>
      </c>
      <c r="O17" s="10"/>
      <c r="P17" s="10">
        <v>0</v>
      </c>
      <c r="Q17" s="10"/>
      <c r="R17" s="10">
        <v>2500</v>
      </c>
      <c r="S17" s="10"/>
      <c r="T17" s="10">
        <v>1000</v>
      </c>
      <c r="U17" s="10"/>
      <c r="V17" s="10">
        <v>1000</v>
      </c>
      <c r="W17" s="10"/>
      <c r="X17" s="10">
        <v>2000</v>
      </c>
      <c r="Y17" s="10"/>
      <c r="Z17" s="48">
        <f>SUM(B17:Y17)</f>
        <v>18458</v>
      </c>
    </row>
    <row r="18" spans="1:26" x14ac:dyDescent="0.25">
      <c r="A18" s="7" t="s">
        <v>27</v>
      </c>
      <c r="B18" s="32">
        <v>0</v>
      </c>
      <c r="C18" s="32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</row>
    <row r="19" spans="1:26" x14ac:dyDescent="0.25">
      <c r="A19" s="4" t="s">
        <v>36</v>
      </c>
      <c r="B19" s="10">
        <v>0</v>
      </c>
      <c r="C19" s="10"/>
      <c r="D19" s="10">
        <v>0</v>
      </c>
      <c r="E19" s="10"/>
      <c r="F19" s="10">
        <v>0</v>
      </c>
      <c r="G19" s="10"/>
      <c r="H19" s="10">
        <v>0</v>
      </c>
      <c r="I19" s="10"/>
      <c r="J19" s="10">
        <v>0</v>
      </c>
      <c r="K19" s="10"/>
      <c r="L19" s="10">
        <v>0</v>
      </c>
      <c r="M19" s="10"/>
      <c r="N19" s="10">
        <v>0</v>
      </c>
      <c r="O19" s="10"/>
      <c r="P19" s="10">
        <v>0</v>
      </c>
      <c r="Q19" s="10"/>
      <c r="R19" s="10">
        <v>0</v>
      </c>
      <c r="S19" s="10"/>
      <c r="T19" s="10">
        <v>0</v>
      </c>
      <c r="U19" s="10"/>
      <c r="V19" s="10">
        <v>0</v>
      </c>
      <c r="W19" s="10"/>
      <c r="X19" s="10">
        <v>0</v>
      </c>
      <c r="Y19" s="10"/>
      <c r="Z19" s="10">
        <v>0</v>
      </c>
    </row>
    <row r="20" spans="1:26" x14ac:dyDescent="0.25">
      <c r="A20" s="7" t="s">
        <v>28</v>
      </c>
      <c r="B20" s="32">
        <f>B21</f>
        <v>0</v>
      </c>
      <c r="C20" s="32"/>
      <c r="D20" s="32">
        <f t="shared" ref="D20:X20" si="6">D21</f>
        <v>0</v>
      </c>
      <c r="E20" s="32"/>
      <c r="F20" s="32">
        <f t="shared" si="6"/>
        <v>3000</v>
      </c>
      <c r="G20" s="32"/>
      <c r="H20" s="32">
        <f t="shared" si="6"/>
        <v>0</v>
      </c>
      <c r="I20" s="32"/>
      <c r="J20" s="32">
        <f t="shared" si="6"/>
        <v>0</v>
      </c>
      <c r="K20" s="32"/>
      <c r="L20" s="32">
        <f t="shared" si="6"/>
        <v>3000</v>
      </c>
      <c r="M20" s="32"/>
      <c r="N20" s="32">
        <f t="shared" si="6"/>
        <v>0</v>
      </c>
      <c r="O20" s="32"/>
      <c r="P20" s="32">
        <f t="shared" si="6"/>
        <v>0</v>
      </c>
      <c r="Q20" s="32"/>
      <c r="R20" s="32">
        <f t="shared" si="6"/>
        <v>3000</v>
      </c>
      <c r="S20" s="32"/>
      <c r="T20" s="32">
        <f t="shared" si="6"/>
        <v>0</v>
      </c>
      <c r="U20" s="32"/>
      <c r="V20" s="32">
        <f t="shared" si="6"/>
        <v>0</v>
      </c>
      <c r="W20" s="32"/>
      <c r="X20" s="32">
        <f t="shared" si="6"/>
        <v>3000</v>
      </c>
      <c r="Y20" s="32"/>
      <c r="Z20" s="32">
        <f>SUM(B20:Y20)</f>
        <v>12000</v>
      </c>
    </row>
    <row r="21" spans="1:26" x14ac:dyDescent="0.25">
      <c r="A21" s="4" t="s">
        <v>29</v>
      </c>
      <c r="B21" s="33">
        <v>0</v>
      </c>
      <c r="C21" s="10"/>
      <c r="D21" s="10">
        <v>0</v>
      </c>
      <c r="E21" s="10"/>
      <c r="F21" s="10">
        <v>3000</v>
      </c>
      <c r="G21" s="10"/>
      <c r="H21" s="10">
        <v>0</v>
      </c>
      <c r="I21" s="10"/>
      <c r="J21" s="10">
        <v>0</v>
      </c>
      <c r="K21" s="10"/>
      <c r="L21" s="10">
        <v>3000</v>
      </c>
      <c r="M21" s="10"/>
      <c r="N21" s="10">
        <v>0</v>
      </c>
      <c r="O21" s="10"/>
      <c r="P21" s="10">
        <v>0</v>
      </c>
      <c r="Q21" s="10"/>
      <c r="R21" s="10">
        <v>3000</v>
      </c>
      <c r="S21" s="10"/>
      <c r="T21" s="10">
        <v>0</v>
      </c>
      <c r="U21" s="10"/>
      <c r="V21" s="10">
        <v>0</v>
      </c>
      <c r="W21" s="10"/>
      <c r="X21" s="10">
        <v>3000</v>
      </c>
      <c r="Y21" s="10"/>
      <c r="Z21" s="10">
        <f>SUM(B21:Y21)</f>
        <v>12000</v>
      </c>
    </row>
    <row r="22" spans="1:26" x14ac:dyDescent="0.25">
      <c r="A22" s="7" t="s">
        <v>38</v>
      </c>
      <c r="B22" s="32">
        <v>0</v>
      </c>
      <c r="C22" s="32"/>
      <c r="D22" s="32">
        <v>0</v>
      </c>
      <c r="E22" s="32"/>
      <c r="F22" s="32">
        <v>0</v>
      </c>
      <c r="G22" s="32"/>
      <c r="H22" s="32">
        <v>0</v>
      </c>
      <c r="I22" s="32"/>
      <c r="J22" s="32">
        <v>0</v>
      </c>
      <c r="K22" s="32"/>
      <c r="L22" s="32">
        <v>0</v>
      </c>
      <c r="M22" s="32"/>
      <c r="N22" s="32">
        <v>0</v>
      </c>
      <c r="O22" s="32"/>
      <c r="P22" s="32">
        <v>0</v>
      </c>
      <c r="Q22" s="32"/>
      <c r="R22" s="32">
        <v>0</v>
      </c>
      <c r="S22" s="32"/>
      <c r="T22" s="32">
        <v>0</v>
      </c>
      <c r="U22" s="32"/>
      <c r="V22" s="32">
        <v>0</v>
      </c>
      <c r="W22" s="32"/>
      <c r="X22" s="32">
        <v>0</v>
      </c>
      <c r="Y22" s="32"/>
      <c r="Z22" s="32">
        <v>0</v>
      </c>
    </row>
    <row r="23" spans="1:26" x14ac:dyDescent="0.25">
      <c r="A23" s="4" t="s">
        <v>37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  <c r="U23" s="10"/>
      <c r="V23" s="10">
        <v>0</v>
      </c>
      <c r="W23" s="10"/>
      <c r="X23" s="10">
        <v>0</v>
      </c>
      <c r="Y23" s="10"/>
      <c r="Z23" s="10">
        <v>0</v>
      </c>
    </row>
    <row r="24" spans="1:26" x14ac:dyDescent="0.25">
      <c r="A24" s="3" t="s">
        <v>30</v>
      </c>
      <c r="B24" s="36">
        <f>B5+B8+B10+B12+B14+B16+B18+B20+B22</f>
        <v>84372.35</v>
      </c>
      <c r="C24" s="41">
        <f>C5+C8+C10+C12+C14+C16+C18+C20+C22</f>
        <v>80268.039999999994</v>
      </c>
      <c r="D24" s="36">
        <f t="shared" ref="D24:Z24" si="7">D5+D8+D10+D12+D14+D16+D18+D20+D22</f>
        <v>157692.35</v>
      </c>
      <c r="E24" s="41">
        <f t="shared" si="7"/>
        <v>84451.29</v>
      </c>
      <c r="F24" s="36">
        <f t="shared" si="7"/>
        <v>122457.35</v>
      </c>
      <c r="G24" s="41">
        <f t="shared" si="7"/>
        <v>169168.38</v>
      </c>
      <c r="H24" s="36">
        <f t="shared" si="7"/>
        <v>161442.35</v>
      </c>
      <c r="I24" s="41">
        <f>I5+I8+I10+I12+I14+I16+I18+I20+I22</f>
        <v>144463.01</v>
      </c>
      <c r="J24" s="36">
        <f t="shared" si="7"/>
        <v>130970.35</v>
      </c>
      <c r="K24" s="41">
        <f>K5+K8+K10+K12+K14+K16+K18+K20+K22</f>
        <v>110526.79000000001</v>
      </c>
      <c r="L24" s="36">
        <f>L5+L8+L10+L12+L14+L16+L18+L20+L22</f>
        <v>183642.34999999998</v>
      </c>
      <c r="M24" s="41">
        <f>M5+M8+M10+M12+M14+M16+M18+M20+M22</f>
        <v>164403.97</v>
      </c>
      <c r="N24" s="36">
        <f t="shared" si="7"/>
        <v>130942.35</v>
      </c>
      <c r="O24" s="41">
        <f>O5+O8+O10+O12+O14+O16+O18+O20+O22</f>
        <v>110596.4</v>
      </c>
      <c r="P24" s="36">
        <f t="shared" si="7"/>
        <v>83792.350000000006</v>
      </c>
      <c r="Q24" s="41">
        <f>Q5+Q8+Q10+Q12+Q14+Q16+Q18+Q20+Q22</f>
        <v>77436.010000000009</v>
      </c>
      <c r="R24" s="36">
        <f t="shared" si="7"/>
        <v>156392.35</v>
      </c>
      <c r="S24" s="41">
        <f>S5+S8+S10+S12+S14+S16+S18+S20+S22</f>
        <v>131320.43</v>
      </c>
      <c r="T24" s="41">
        <f t="shared" ref="T24:U24" si="8">T5+T8+T10+T12+T14+T16+T18+T20+T22</f>
        <v>129642.35</v>
      </c>
      <c r="U24" s="41">
        <f t="shared" si="8"/>
        <v>119933.54000000001</v>
      </c>
      <c r="V24" s="36">
        <f t="shared" si="7"/>
        <v>126842.35</v>
      </c>
      <c r="W24" s="41">
        <f>W5+W8+W10+W12+W14+W16+W18+W20+W22</f>
        <v>112113.23</v>
      </c>
      <c r="X24" s="36">
        <f t="shared" si="7"/>
        <v>184942.34999999998</v>
      </c>
      <c r="Y24" s="41">
        <f>Y5+Y8+Y10+Y12+Y14+Y16+Y18+Y20+Y22</f>
        <v>172891.76</v>
      </c>
      <c r="Z24" s="36">
        <f t="shared" si="7"/>
        <v>3130704.0500000003</v>
      </c>
    </row>
    <row r="25" spans="1:26" x14ac:dyDescent="0.25">
      <c r="A25" s="6" t="s">
        <v>31</v>
      </c>
      <c r="B25" s="26">
        <v>0</v>
      </c>
      <c r="C25" s="26"/>
      <c r="D25" s="10">
        <v>33656.400000000001</v>
      </c>
      <c r="E25" s="10"/>
      <c r="F25" s="10">
        <v>0</v>
      </c>
      <c r="G25" s="10"/>
      <c r="H25" s="10">
        <v>0</v>
      </c>
      <c r="I25" s="10"/>
      <c r="J25" s="10">
        <v>0</v>
      </c>
      <c r="L25" s="10">
        <v>0</v>
      </c>
      <c r="M25" s="33">
        <f>190778.67</f>
        <v>190778.67</v>
      </c>
      <c r="N25" s="10">
        <v>0</v>
      </c>
      <c r="O25" s="10"/>
      <c r="P25" s="10">
        <v>0</v>
      </c>
      <c r="Q25" s="10"/>
      <c r="R25" s="10">
        <v>0</v>
      </c>
      <c r="S25" s="10"/>
      <c r="T25" s="10">
        <v>0</v>
      </c>
      <c r="U25" s="10"/>
      <c r="V25" s="10">
        <v>0</v>
      </c>
      <c r="W25" s="10"/>
      <c r="X25" s="10">
        <v>0</v>
      </c>
      <c r="Y25" s="10"/>
      <c r="Z25" s="10">
        <f>SUM(B25:Y25)</f>
        <v>224435.07</v>
      </c>
    </row>
    <row r="26" spans="1:26" x14ac:dyDescent="0.25">
      <c r="A26" s="6" t="s">
        <v>32</v>
      </c>
      <c r="B26" s="26">
        <v>0</v>
      </c>
      <c r="C26" s="26"/>
      <c r="D26" s="10">
        <v>0</v>
      </c>
      <c r="E26" s="10"/>
      <c r="F26" s="10">
        <v>8119.2</v>
      </c>
      <c r="G26" s="10"/>
      <c r="H26" s="10">
        <v>0</v>
      </c>
      <c r="I26" s="10"/>
      <c r="J26" s="10">
        <v>0</v>
      </c>
      <c r="K26" s="10"/>
      <c r="L26" s="10">
        <v>0</v>
      </c>
      <c r="M26" s="10"/>
      <c r="N26" s="10">
        <v>0</v>
      </c>
      <c r="O26" s="10"/>
      <c r="P26" s="10">
        <v>0</v>
      </c>
      <c r="Q26" s="10"/>
      <c r="R26" s="10">
        <v>0</v>
      </c>
      <c r="S26" s="10"/>
      <c r="T26" s="10">
        <v>0</v>
      </c>
      <c r="U26" s="10"/>
      <c r="V26" s="10">
        <v>0</v>
      </c>
      <c r="W26" s="10"/>
      <c r="X26" s="10">
        <v>0</v>
      </c>
      <c r="Y26" s="10"/>
      <c r="Z26" s="10">
        <f>SUM(B26:Y26)</f>
        <v>8119.2</v>
      </c>
    </row>
    <row r="27" spans="1:26" x14ac:dyDescent="0.25">
      <c r="A27" s="6" t="s">
        <v>33</v>
      </c>
      <c r="B27" s="33">
        <v>0</v>
      </c>
      <c r="C27" s="33"/>
      <c r="D27" s="10">
        <v>312.94</v>
      </c>
      <c r="E27" s="10"/>
      <c r="F27" s="10">
        <v>0</v>
      </c>
      <c r="G27" s="10"/>
      <c r="H27" s="10">
        <v>0</v>
      </c>
      <c r="I27" s="10"/>
      <c r="J27" s="10">
        <v>0</v>
      </c>
      <c r="K27" s="10"/>
      <c r="L27" s="10">
        <v>0</v>
      </c>
      <c r="M27" s="10"/>
      <c r="N27" s="10">
        <v>0</v>
      </c>
      <c r="O27" s="10"/>
      <c r="P27" s="10">
        <v>0</v>
      </c>
      <c r="Q27" s="10"/>
      <c r="R27" s="10">
        <v>0</v>
      </c>
      <c r="S27" s="10"/>
      <c r="T27" s="10">
        <v>0</v>
      </c>
      <c r="U27" s="10"/>
      <c r="V27" s="10">
        <v>0</v>
      </c>
      <c r="W27" s="10"/>
      <c r="X27" s="10">
        <v>0</v>
      </c>
      <c r="Y27" s="10"/>
      <c r="Z27" s="10">
        <f>SUM(B27:Y27)</f>
        <v>312.94</v>
      </c>
    </row>
    <row r="28" spans="1:26" x14ac:dyDescent="0.25">
      <c r="A28" s="3" t="s">
        <v>34</v>
      </c>
      <c r="B28" s="37">
        <f>SUM(B24:B27)</f>
        <v>84372.35</v>
      </c>
      <c r="C28" s="41">
        <f>C24</f>
        <v>80268.039999999994</v>
      </c>
      <c r="D28" s="37">
        <f t="shared" ref="D28:X28" si="9">SUM(D24:D27)</f>
        <v>191661.69</v>
      </c>
      <c r="E28" s="41">
        <f>E24</f>
        <v>84451.29</v>
      </c>
      <c r="F28" s="37">
        <f t="shared" si="9"/>
        <v>130576.55</v>
      </c>
      <c r="G28" s="41">
        <f>G24</f>
        <v>169168.38</v>
      </c>
      <c r="H28" s="37">
        <f t="shared" si="9"/>
        <v>161442.35</v>
      </c>
      <c r="I28" s="41">
        <f>I24</f>
        <v>144463.01</v>
      </c>
      <c r="J28" s="37">
        <f t="shared" si="9"/>
        <v>130970.35</v>
      </c>
      <c r="K28" s="41">
        <f>K24</f>
        <v>110526.79000000001</v>
      </c>
      <c r="L28" s="37">
        <f t="shared" si="9"/>
        <v>183642.34999999998</v>
      </c>
      <c r="M28" s="41">
        <f>M24+M25</f>
        <v>355182.64</v>
      </c>
      <c r="N28" s="37">
        <f t="shared" si="9"/>
        <v>130942.35</v>
      </c>
      <c r="O28" s="41">
        <f>O24</f>
        <v>110596.4</v>
      </c>
      <c r="P28" s="37">
        <f t="shared" si="9"/>
        <v>83792.350000000006</v>
      </c>
      <c r="Q28" s="41">
        <f>Q24</f>
        <v>77436.010000000009</v>
      </c>
      <c r="R28" s="37">
        <f t="shared" si="9"/>
        <v>156392.35</v>
      </c>
      <c r="S28" s="41">
        <f>S24</f>
        <v>131320.43</v>
      </c>
      <c r="T28" s="37">
        <f t="shared" si="9"/>
        <v>129642.35</v>
      </c>
      <c r="U28" s="41">
        <f>U24</f>
        <v>119933.54000000001</v>
      </c>
      <c r="V28" s="37">
        <f t="shared" si="9"/>
        <v>126842.35</v>
      </c>
      <c r="W28" s="41">
        <f>W24</f>
        <v>112113.23</v>
      </c>
      <c r="X28" s="37">
        <f t="shared" si="9"/>
        <v>184942.34999999998</v>
      </c>
      <c r="Y28" s="41">
        <f>Y24</f>
        <v>172891.76</v>
      </c>
      <c r="Z28" s="37">
        <f>SUM(B28:X28)</f>
        <v>3190679.5000000009</v>
      </c>
    </row>
    <row r="30" spans="1:26" x14ac:dyDescent="0.25">
      <c r="A30" t="s">
        <v>80</v>
      </c>
      <c r="B30" s="40">
        <f>93370.07</f>
        <v>93370.07</v>
      </c>
      <c r="D30" s="40"/>
      <c r="I30" s="40"/>
      <c r="L30" s="8"/>
      <c r="M30" s="8"/>
      <c r="O30" s="40"/>
      <c r="Q30" s="8"/>
      <c r="S30" s="8"/>
      <c r="U30" s="40"/>
    </row>
    <row r="31" spans="1:26" x14ac:dyDescent="0.25">
      <c r="D31" s="40"/>
    </row>
    <row r="32" spans="1:26" x14ac:dyDescent="0.25">
      <c r="D32" s="40"/>
    </row>
    <row r="33" spans="2:23" x14ac:dyDescent="0.25">
      <c r="B33" s="8"/>
      <c r="C33" s="42"/>
      <c r="D33" s="8"/>
      <c r="E33" s="8"/>
    </row>
    <row r="34" spans="2:23" x14ac:dyDescent="0.25">
      <c r="D34" s="40"/>
    </row>
    <row r="36" spans="2:23" x14ac:dyDescent="0.25">
      <c r="D36" s="40"/>
    </row>
    <row r="39" spans="2:23" x14ac:dyDescent="0.25">
      <c r="W39" s="8"/>
    </row>
    <row r="41" spans="2:23" x14ac:dyDescent="0.25">
      <c r="D41" s="40"/>
    </row>
    <row r="42" spans="2:23" x14ac:dyDescent="0.25">
      <c r="W42" s="8"/>
    </row>
  </sheetData>
  <customSheetViews>
    <customSheetView guid="{FB6C1840-092B-4DCD-B114-14127DE8C0F9}" topLeftCell="H1">
      <selection activeCell="N29" sqref="N29"/>
      <pageMargins left="0.7" right="0.7" top="0.75" bottom="0.75" header="0.3" footer="0.3"/>
      <pageSetup paperSize="9" orientation="portrait" horizontalDpi="300" verticalDpi="300" r:id="rId1"/>
    </customSheetView>
    <customSheetView guid="{BFAC555E-E7B7-4CF7-9F1A-95D34DDED4B3}">
      <selection activeCell="F10" sqref="F10"/>
      <pageMargins left="0.7" right="0.7" top="0.75" bottom="0.75" header="0.3" footer="0.3"/>
      <pageSetup paperSize="9" orientation="portrait" horizontalDpi="300" verticalDpi="300" r:id="rId2"/>
    </customSheetView>
    <customSheetView guid="{03D5BD7D-D4D3-4AFF-8EAA-66637F997C80}" topLeftCell="A7">
      <selection activeCell="C28" sqref="C28"/>
      <pageMargins left="0.7" right="0.7" top="0.75" bottom="0.75" header="0.3" footer="0.3"/>
      <pageSetup paperSize="9" orientation="portrait" horizontalDpi="300" verticalDpi="300" r:id="rId3"/>
    </customSheetView>
  </customSheetViews>
  <mergeCells count="3">
    <mergeCell ref="B3:J3"/>
    <mergeCell ref="A1:Z1"/>
    <mergeCell ref="A2:Z2"/>
  </mergeCells>
  <pageMargins left="0.70866141732283472" right="0.70866141732283472" top="0.74803149606299213" bottom="0.74803149606299213" header="0.31496062992125984" footer="0.31496062992125984"/>
  <pageSetup paperSize="8" orientation="landscape" r:id="rId4"/>
  <ignoredErrors>
    <ignoredError sqref="O28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topLeftCell="A11" workbookViewId="0">
      <selection activeCell="M40" sqref="M40"/>
    </sheetView>
  </sheetViews>
  <sheetFormatPr baseColWidth="10" defaultRowHeight="15" x14ac:dyDescent="0.25"/>
  <cols>
    <col min="2" max="2" width="17.5703125" bestFit="1" customWidth="1"/>
    <col min="5" max="5" width="3.42578125" customWidth="1"/>
    <col min="7" max="7" width="19.42578125" customWidth="1"/>
    <col min="10" max="10" width="3.85546875" customWidth="1"/>
    <col min="12" max="12" width="17.5703125" bestFit="1" customWidth="1"/>
    <col min="15" max="15" width="5.140625" customWidth="1"/>
    <col min="17" max="17" width="17.5703125" bestFit="1" customWidth="1"/>
  </cols>
  <sheetData>
    <row r="2" spans="1:24" x14ac:dyDescent="0.25">
      <c r="T2" s="8"/>
    </row>
    <row r="3" spans="1:24" x14ac:dyDescent="0.25">
      <c r="A3" s="9" t="s">
        <v>51</v>
      </c>
      <c r="B3" s="9" t="s">
        <v>39</v>
      </c>
      <c r="C3" s="10"/>
      <c r="F3" s="17" t="s">
        <v>53</v>
      </c>
      <c r="G3" s="9" t="s">
        <v>39</v>
      </c>
      <c r="H3" s="10">
        <v>3000</v>
      </c>
      <c r="K3" s="9" t="s">
        <v>56</v>
      </c>
      <c r="L3" s="9" t="s">
        <v>39</v>
      </c>
      <c r="M3" s="10">
        <v>3000</v>
      </c>
      <c r="P3" s="9" t="s">
        <v>59</v>
      </c>
      <c r="Q3" s="9" t="s">
        <v>39</v>
      </c>
      <c r="R3" s="10">
        <v>3000</v>
      </c>
      <c r="X3" s="8"/>
    </row>
    <row r="4" spans="1:24" x14ac:dyDescent="0.25">
      <c r="B4" s="9" t="s">
        <v>40</v>
      </c>
      <c r="C4" s="10"/>
      <c r="G4" s="9" t="s">
        <v>40</v>
      </c>
      <c r="H4" s="10">
        <v>26000</v>
      </c>
      <c r="L4" s="9" t="s">
        <v>40</v>
      </c>
      <c r="M4" s="10">
        <v>26000</v>
      </c>
      <c r="Q4" s="9" t="s">
        <v>40</v>
      </c>
      <c r="R4" s="10">
        <v>26000</v>
      </c>
      <c r="X4" s="8"/>
    </row>
    <row r="5" spans="1:24" x14ac:dyDescent="0.25">
      <c r="B5" s="9" t="s">
        <v>41</v>
      </c>
      <c r="C5" s="10"/>
      <c r="G5" s="9" t="s">
        <v>41</v>
      </c>
      <c r="H5" s="10">
        <v>400</v>
      </c>
      <c r="L5" s="9" t="s">
        <v>41</v>
      </c>
      <c r="M5" s="10">
        <v>400</v>
      </c>
      <c r="Q5" s="9" t="s">
        <v>41</v>
      </c>
      <c r="R5" s="10">
        <v>400</v>
      </c>
    </row>
    <row r="6" spans="1:24" x14ac:dyDescent="0.25">
      <c r="B6" s="9" t="s">
        <v>42</v>
      </c>
      <c r="C6" s="10"/>
      <c r="G6" s="9" t="s">
        <v>42</v>
      </c>
      <c r="H6" s="10">
        <v>300</v>
      </c>
      <c r="L6" s="9" t="s">
        <v>42</v>
      </c>
      <c r="M6" s="10">
        <v>300</v>
      </c>
      <c r="Q6" s="9" t="s">
        <v>42</v>
      </c>
      <c r="R6" s="10">
        <v>300</v>
      </c>
    </row>
    <row r="7" spans="1:24" x14ac:dyDescent="0.25">
      <c r="B7" s="9" t="s">
        <v>43</v>
      </c>
      <c r="C7" s="10"/>
      <c r="G7" s="9" t="s">
        <v>43</v>
      </c>
      <c r="H7" s="10">
        <v>150</v>
      </c>
      <c r="L7" s="9" t="s">
        <v>43</v>
      </c>
      <c r="M7" s="10">
        <v>150</v>
      </c>
      <c r="Q7" s="9" t="s">
        <v>43</v>
      </c>
      <c r="R7" s="10">
        <v>150</v>
      </c>
    </row>
    <row r="8" spans="1:24" x14ac:dyDescent="0.25">
      <c r="B8" s="9" t="s">
        <v>44</v>
      </c>
      <c r="C8" s="10">
        <v>200</v>
      </c>
      <c r="G8" s="9" t="s">
        <v>44</v>
      </c>
      <c r="H8" s="10">
        <v>200</v>
      </c>
      <c r="L8" s="9" t="s">
        <v>44</v>
      </c>
      <c r="M8" s="10">
        <v>200</v>
      </c>
      <c r="Q8" s="9" t="s">
        <v>44</v>
      </c>
      <c r="R8" s="10">
        <v>200</v>
      </c>
    </row>
    <row r="9" spans="1:24" x14ac:dyDescent="0.25">
      <c r="B9" s="9" t="s">
        <v>48</v>
      </c>
      <c r="C9" s="10"/>
      <c r="G9" s="9" t="s">
        <v>48</v>
      </c>
      <c r="H9" s="10">
        <v>3000</v>
      </c>
      <c r="L9" s="9" t="s">
        <v>48</v>
      </c>
      <c r="M9" s="10">
        <v>3000</v>
      </c>
      <c r="Q9" s="9" t="s">
        <v>48</v>
      </c>
      <c r="R9" s="10">
        <v>3000</v>
      </c>
    </row>
    <row r="10" spans="1:24" x14ac:dyDescent="0.25">
      <c r="B10" s="9" t="s">
        <v>67</v>
      </c>
      <c r="C10" s="10"/>
      <c r="D10" s="15"/>
      <c r="G10" s="9" t="s">
        <v>67</v>
      </c>
      <c r="H10" s="10">
        <v>700</v>
      </c>
      <c r="I10" s="8"/>
      <c r="L10" s="9" t="s">
        <v>67</v>
      </c>
      <c r="M10" s="10">
        <v>700</v>
      </c>
      <c r="N10" s="8"/>
      <c r="Q10" s="9" t="s">
        <v>67</v>
      </c>
      <c r="R10" s="10">
        <v>700</v>
      </c>
      <c r="S10" s="8"/>
    </row>
    <row r="11" spans="1:24" x14ac:dyDescent="0.25">
      <c r="B11" s="13" t="s">
        <v>77</v>
      </c>
      <c r="C11" s="14">
        <v>580</v>
      </c>
      <c r="D11" s="11">
        <f>SUM(C3:C11)</f>
        <v>780</v>
      </c>
      <c r="G11" s="9" t="s">
        <v>45</v>
      </c>
      <c r="H11" s="10">
        <v>2600</v>
      </c>
      <c r="L11" s="9" t="s">
        <v>45</v>
      </c>
      <c r="M11" s="10">
        <v>2600</v>
      </c>
      <c r="Q11" s="9" t="s">
        <v>45</v>
      </c>
      <c r="R11" s="10">
        <v>2600</v>
      </c>
    </row>
    <row r="12" spans="1:24" x14ac:dyDescent="0.25">
      <c r="C12" s="8"/>
      <c r="G12" s="9" t="s">
        <v>46</v>
      </c>
      <c r="H12" s="10">
        <v>4000</v>
      </c>
      <c r="L12" s="9" t="s">
        <v>46</v>
      </c>
      <c r="M12" s="10">
        <v>4000</v>
      </c>
      <c r="Q12" s="9" t="s">
        <v>46</v>
      </c>
      <c r="R12" s="10">
        <v>4000</v>
      </c>
    </row>
    <row r="13" spans="1:24" x14ac:dyDescent="0.25">
      <c r="C13" s="8"/>
      <c r="G13" s="9" t="s">
        <v>47</v>
      </c>
      <c r="H13" s="10">
        <v>400</v>
      </c>
      <c r="L13" s="9" t="s">
        <v>47</v>
      </c>
      <c r="M13" s="10">
        <v>400</v>
      </c>
      <c r="Q13" s="9" t="s">
        <v>47</v>
      </c>
      <c r="R13" s="10">
        <v>400</v>
      </c>
    </row>
    <row r="14" spans="1:24" x14ac:dyDescent="0.25">
      <c r="C14" s="8"/>
      <c r="G14" s="9" t="s">
        <v>49</v>
      </c>
      <c r="H14" s="10">
        <v>2000</v>
      </c>
      <c r="I14" s="8"/>
      <c r="L14" s="9" t="s">
        <v>49</v>
      </c>
      <c r="M14" s="10">
        <v>2000</v>
      </c>
      <c r="N14" s="8"/>
      <c r="Q14" s="9" t="s">
        <v>49</v>
      </c>
      <c r="R14" s="10">
        <v>2000</v>
      </c>
      <c r="S14" s="16"/>
    </row>
    <row r="15" spans="1:24" x14ac:dyDescent="0.25">
      <c r="C15" s="8"/>
      <c r="G15" s="9" t="s">
        <v>65</v>
      </c>
      <c r="H15" s="10">
        <v>2300</v>
      </c>
      <c r="I15" s="18">
        <f>SUM(H3:H14)</f>
        <v>42750</v>
      </c>
      <c r="L15" s="9" t="s">
        <v>62</v>
      </c>
      <c r="M15" s="10">
        <v>600</v>
      </c>
      <c r="N15" s="8"/>
      <c r="Q15" s="9" t="s">
        <v>65</v>
      </c>
      <c r="R15" s="10">
        <v>2300</v>
      </c>
      <c r="S15" s="11">
        <f>SUM(R3:R15)</f>
        <v>45050</v>
      </c>
    </row>
    <row r="16" spans="1:24" x14ac:dyDescent="0.25">
      <c r="C16" s="8"/>
      <c r="H16" s="8"/>
      <c r="I16" s="8"/>
      <c r="L16" s="9" t="s">
        <v>50</v>
      </c>
      <c r="M16" s="26">
        <v>700</v>
      </c>
      <c r="N16" s="8"/>
      <c r="R16" s="8"/>
      <c r="S16" s="8"/>
    </row>
    <row r="17" spans="1:24" x14ac:dyDescent="0.25">
      <c r="C17" s="8"/>
      <c r="H17" s="8"/>
      <c r="I17" s="8"/>
      <c r="L17" s="9" t="s">
        <v>65</v>
      </c>
      <c r="M17" s="10">
        <v>2300</v>
      </c>
      <c r="N17" s="11">
        <f>SUM(M3:M17)</f>
        <v>46350</v>
      </c>
      <c r="R17" s="8"/>
      <c r="S17" s="8"/>
    </row>
    <row r="19" spans="1:24" x14ac:dyDescent="0.25">
      <c r="A19" s="9" t="s">
        <v>76</v>
      </c>
      <c r="B19" s="9" t="s">
        <v>39</v>
      </c>
      <c r="C19" s="10">
        <f>3000+3000</f>
        <v>6000</v>
      </c>
      <c r="F19" s="9" t="s">
        <v>54</v>
      </c>
      <c r="G19" s="9" t="s">
        <v>39</v>
      </c>
      <c r="H19" s="10">
        <v>3000</v>
      </c>
      <c r="K19" s="9" t="s">
        <v>58</v>
      </c>
      <c r="L19" s="9" t="s">
        <v>39</v>
      </c>
      <c r="M19" s="10">
        <v>0</v>
      </c>
      <c r="P19" s="9" t="s">
        <v>60</v>
      </c>
      <c r="Q19" s="9" t="s">
        <v>39</v>
      </c>
      <c r="R19" s="10">
        <v>3000</v>
      </c>
      <c r="T19" s="8"/>
      <c r="X19" s="8"/>
    </row>
    <row r="20" spans="1:24" x14ac:dyDescent="0.25">
      <c r="B20" s="9" t="s">
        <v>40</v>
      </c>
      <c r="C20" s="10">
        <f>26000+26000</f>
        <v>52000</v>
      </c>
      <c r="E20" s="8"/>
      <c r="G20" s="9" t="s">
        <v>40</v>
      </c>
      <c r="H20" s="10">
        <v>26000</v>
      </c>
      <c r="L20" s="9" t="s">
        <v>40</v>
      </c>
      <c r="M20" s="10">
        <v>0</v>
      </c>
      <c r="Q20" s="9" t="s">
        <v>40</v>
      </c>
      <c r="R20" s="10">
        <v>26000</v>
      </c>
    </row>
    <row r="21" spans="1:24" x14ac:dyDescent="0.25">
      <c r="B21" s="9" t="s">
        <v>41</v>
      </c>
      <c r="C21" s="10">
        <f>400+400</f>
        <v>800</v>
      </c>
      <c r="G21" s="9" t="s">
        <v>41</v>
      </c>
      <c r="H21" s="10">
        <v>400</v>
      </c>
      <c r="L21" s="9" t="s">
        <v>41</v>
      </c>
      <c r="M21" s="10">
        <v>0</v>
      </c>
      <c r="Q21" s="9" t="s">
        <v>41</v>
      </c>
      <c r="R21" s="10">
        <v>400</v>
      </c>
    </row>
    <row r="22" spans="1:24" x14ac:dyDescent="0.25">
      <c r="B22" s="9" t="s">
        <v>42</v>
      </c>
      <c r="C22" s="10">
        <v>300</v>
      </c>
      <c r="G22" s="9" t="s">
        <v>42</v>
      </c>
      <c r="H22" s="10">
        <v>300</v>
      </c>
      <c r="L22" s="9" t="s">
        <v>42</v>
      </c>
      <c r="M22" s="10">
        <v>0</v>
      </c>
      <c r="Q22" s="9" t="s">
        <v>42</v>
      </c>
      <c r="R22" s="10">
        <v>300</v>
      </c>
    </row>
    <row r="23" spans="1:24" x14ac:dyDescent="0.25">
      <c r="B23" s="9" t="s">
        <v>43</v>
      </c>
      <c r="C23" s="10">
        <f>150+150</f>
        <v>300</v>
      </c>
      <c r="G23" s="9" t="s">
        <v>43</v>
      </c>
      <c r="H23" s="10">
        <v>150</v>
      </c>
      <c r="L23" s="9" t="s">
        <v>43</v>
      </c>
      <c r="M23" s="10">
        <v>0</v>
      </c>
      <c r="Q23" s="9" t="s">
        <v>43</v>
      </c>
      <c r="R23" s="10">
        <v>150</v>
      </c>
    </row>
    <row r="24" spans="1:24" x14ac:dyDescent="0.25">
      <c r="B24" s="9" t="s">
        <v>44</v>
      </c>
      <c r="C24" s="10">
        <f>200</f>
        <v>200</v>
      </c>
      <c r="G24" s="9" t="s">
        <v>44</v>
      </c>
      <c r="H24" s="10">
        <v>200</v>
      </c>
      <c r="L24" s="9" t="s">
        <v>44</v>
      </c>
      <c r="M24" s="10">
        <v>200</v>
      </c>
      <c r="Q24" s="9" t="s">
        <v>44</v>
      </c>
      <c r="R24" s="10">
        <v>200</v>
      </c>
    </row>
    <row r="25" spans="1:24" x14ac:dyDescent="0.25">
      <c r="B25" s="9" t="s">
        <v>48</v>
      </c>
      <c r="C25" s="10">
        <f>3000+2000</f>
        <v>5000</v>
      </c>
      <c r="G25" s="9" t="s">
        <v>48</v>
      </c>
      <c r="H25" s="10">
        <v>3000</v>
      </c>
      <c r="L25" s="9" t="s">
        <v>48</v>
      </c>
      <c r="M25" s="10">
        <v>0</v>
      </c>
      <c r="Q25" s="9" t="s">
        <v>48</v>
      </c>
      <c r="R25" s="10">
        <v>3000</v>
      </c>
    </row>
    <row r="26" spans="1:24" x14ac:dyDescent="0.25">
      <c r="B26" s="27" t="s">
        <v>67</v>
      </c>
      <c r="C26" s="28">
        <v>1000</v>
      </c>
      <c r="D26" s="8"/>
      <c r="G26" s="9" t="s">
        <v>67</v>
      </c>
      <c r="H26" s="10">
        <v>1000</v>
      </c>
      <c r="I26" s="19"/>
      <c r="L26" s="9" t="s">
        <v>67</v>
      </c>
      <c r="M26" s="10">
        <v>0</v>
      </c>
      <c r="N26" s="11">
        <f>SUM(M19:M26)</f>
        <v>200</v>
      </c>
      <c r="Q26" s="9" t="s">
        <v>67</v>
      </c>
      <c r="R26" s="10">
        <v>700</v>
      </c>
      <c r="S26" s="11">
        <f>SUM(R19:R26)</f>
        <v>33750</v>
      </c>
    </row>
    <row r="27" spans="1:24" x14ac:dyDescent="0.25">
      <c r="B27" s="30" t="s">
        <v>64</v>
      </c>
      <c r="C27" s="31">
        <v>6000</v>
      </c>
      <c r="D27" s="11">
        <f>SUM(C19:C27)</f>
        <v>71600</v>
      </c>
      <c r="G27" s="25" t="s">
        <v>66</v>
      </c>
      <c r="H27" s="26">
        <v>2828</v>
      </c>
      <c r="I27" s="11">
        <f>SUM(H19:H27)</f>
        <v>36878</v>
      </c>
      <c r="L27" s="22"/>
      <c r="M27" s="16"/>
      <c r="N27" s="16"/>
      <c r="Q27" s="22"/>
      <c r="R27" s="16"/>
      <c r="S27" s="15"/>
    </row>
    <row r="28" spans="1:24" x14ac:dyDescent="0.25">
      <c r="B28" s="22"/>
      <c r="C28" s="16"/>
      <c r="D28" s="15"/>
    </row>
    <row r="30" spans="1:24" x14ac:dyDescent="0.25">
      <c r="A30" s="9" t="s">
        <v>52</v>
      </c>
      <c r="B30" s="9" t="s">
        <v>39</v>
      </c>
      <c r="C30" s="10">
        <v>3000</v>
      </c>
      <c r="F30" s="9" t="s">
        <v>55</v>
      </c>
      <c r="G30" s="9" t="s">
        <v>39</v>
      </c>
      <c r="H30" s="10">
        <v>3000</v>
      </c>
      <c r="K30" s="9" t="s">
        <v>57</v>
      </c>
      <c r="L30" s="9" t="s">
        <v>39</v>
      </c>
      <c r="M30" s="10">
        <v>3000</v>
      </c>
      <c r="N30" s="8"/>
      <c r="P30" s="17" t="s">
        <v>61</v>
      </c>
      <c r="Q30" s="20" t="s">
        <v>39</v>
      </c>
      <c r="R30" s="21">
        <v>3000</v>
      </c>
    </row>
    <row r="31" spans="1:24" x14ac:dyDescent="0.25">
      <c r="B31" s="9" t="s">
        <v>40</v>
      </c>
      <c r="C31" s="10">
        <v>26000</v>
      </c>
      <c r="G31" s="9" t="s">
        <v>40</v>
      </c>
      <c r="H31" s="10">
        <v>26000</v>
      </c>
      <c r="L31" s="9" t="s">
        <v>40</v>
      </c>
      <c r="M31" s="10">
        <v>26000</v>
      </c>
      <c r="N31" s="8"/>
      <c r="Q31" s="20" t="s">
        <v>40</v>
      </c>
      <c r="R31" s="21">
        <v>26000</v>
      </c>
    </row>
    <row r="32" spans="1:24" x14ac:dyDescent="0.25">
      <c r="B32" s="9" t="s">
        <v>41</v>
      </c>
      <c r="C32" s="10">
        <v>400</v>
      </c>
      <c r="G32" s="9" t="s">
        <v>41</v>
      </c>
      <c r="H32" s="10">
        <v>400</v>
      </c>
      <c r="L32" s="9" t="s">
        <v>41</v>
      </c>
      <c r="M32" s="10">
        <v>400</v>
      </c>
      <c r="N32" s="8"/>
      <c r="Q32" s="20" t="s">
        <v>41</v>
      </c>
      <c r="R32" s="21">
        <v>400</v>
      </c>
    </row>
    <row r="33" spans="2:19" x14ac:dyDescent="0.25">
      <c r="B33" s="9" t="s">
        <v>42</v>
      </c>
      <c r="C33" s="10">
        <v>300</v>
      </c>
      <c r="G33" s="9" t="s">
        <v>42</v>
      </c>
      <c r="H33" s="10">
        <v>300</v>
      </c>
      <c r="L33" s="9" t="s">
        <v>42</v>
      </c>
      <c r="M33" s="10">
        <v>300</v>
      </c>
      <c r="N33" s="8"/>
      <c r="Q33" s="20" t="s">
        <v>42</v>
      </c>
      <c r="R33" s="21">
        <v>300</v>
      </c>
    </row>
    <row r="34" spans="2:19" x14ac:dyDescent="0.25">
      <c r="B34" s="9" t="s">
        <v>43</v>
      </c>
      <c r="C34" s="10">
        <v>150</v>
      </c>
      <c r="G34" s="9" t="s">
        <v>43</v>
      </c>
      <c r="H34" s="10">
        <v>150</v>
      </c>
      <c r="L34" s="9" t="s">
        <v>43</v>
      </c>
      <c r="M34" s="10">
        <v>150</v>
      </c>
      <c r="N34" s="8"/>
      <c r="Q34" s="20" t="s">
        <v>43</v>
      </c>
      <c r="R34" s="21">
        <v>150</v>
      </c>
    </row>
    <row r="35" spans="2:19" x14ac:dyDescent="0.25">
      <c r="B35" s="9" t="s">
        <v>44</v>
      </c>
      <c r="C35" s="10">
        <v>200</v>
      </c>
      <c r="G35" s="9" t="s">
        <v>44</v>
      </c>
      <c r="H35" s="10">
        <v>200</v>
      </c>
      <c r="L35" s="9" t="s">
        <v>44</v>
      </c>
      <c r="M35" s="10">
        <v>200</v>
      </c>
      <c r="N35" s="8"/>
      <c r="Q35" s="20" t="s">
        <v>44</v>
      </c>
      <c r="R35" s="21">
        <v>200</v>
      </c>
    </row>
    <row r="36" spans="2:19" x14ac:dyDescent="0.25">
      <c r="B36" s="9" t="s">
        <v>48</v>
      </c>
      <c r="C36" s="10">
        <v>3000</v>
      </c>
      <c r="G36" s="9" t="s">
        <v>48</v>
      </c>
      <c r="H36" s="10">
        <v>3000</v>
      </c>
      <c r="L36" s="9" t="s">
        <v>48</v>
      </c>
      <c r="M36" s="10">
        <v>3000</v>
      </c>
      <c r="N36" s="8"/>
      <c r="Q36" s="20" t="s">
        <v>48</v>
      </c>
      <c r="R36" s="21">
        <v>3000</v>
      </c>
    </row>
    <row r="37" spans="2:19" x14ac:dyDescent="0.25">
      <c r="B37" s="9" t="s">
        <v>67</v>
      </c>
      <c r="C37" s="10">
        <v>700</v>
      </c>
      <c r="D37" s="12">
        <f>SUM(C30:C37)</f>
        <v>33750</v>
      </c>
      <c r="G37" s="9" t="s">
        <v>67</v>
      </c>
      <c r="H37" s="10">
        <v>700</v>
      </c>
      <c r="I37" s="11">
        <f>SUM(H30:H37)</f>
        <v>33750</v>
      </c>
      <c r="L37" s="9" t="s">
        <v>67</v>
      </c>
      <c r="M37" s="10">
        <v>700</v>
      </c>
      <c r="N37" s="11">
        <f>SUM(M30:M37)*2-200</f>
        <v>67300</v>
      </c>
      <c r="Q37" s="9" t="s">
        <v>67</v>
      </c>
      <c r="R37" s="21">
        <v>700</v>
      </c>
      <c r="S37" s="8"/>
    </row>
    <row r="38" spans="2:19" x14ac:dyDescent="0.25">
      <c r="Q38" s="20" t="s">
        <v>63</v>
      </c>
      <c r="R38" s="21">
        <v>600</v>
      </c>
      <c r="S38" s="11">
        <f>SUM(R30:R38)</f>
        <v>34350</v>
      </c>
    </row>
    <row r="40" spans="2:19" x14ac:dyDescent="0.25">
      <c r="B40" s="8"/>
      <c r="F40" s="23"/>
      <c r="G40" s="23"/>
      <c r="H40" s="24"/>
      <c r="M40" s="8">
        <f>N17+N26+N37+S15+S26+S38</f>
        <v>227000</v>
      </c>
    </row>
    <row r="41" spans="2:19" x14ac:dyDescent="0.25">
      <c r="F41" s="23"/>
      <c r="G41" s="23"/>
      <c r="H41" s="24"/>
    </row>
    <row r="44" spans="2:19" x14ac:dyDescent="0.25">
      <c r="C44" s="8"/>
    </row>
    <row r="45" spans="2:19" x14ac:dyDescent="0.25">
      <c r="C45" s="8"/>
    </row>
    <row r="46" spans="2:19" x14ac:dyDescent="0.25">
      <c r="C46" s="8"/>
    </row>
    <row r="47" spans="2:19" x14ac:dyDescent="0.25">
      <c r="C47" s="8"/>
    </row>
    <row r="48" spans="2:19" x14ac:dyDescent="0.25">
      <c r="C48" s="8"/>
    </row>
    <row r="49" spans="3:4" x14ac:dyDescent="0.25">
      <c r="C49" s="8"/>
    </row>
    <row r="50" spans="3:4" x14ac:dyDescent="0.25">
      <c r="C50" s="8"/>
    </row>
    <row r="51" spans="3:4" x14ac:dyDescent="0.25">
      <c r="C51" s="8"/>
    </row>
    <row r="52" spans="3:4" x14ac:dyDescent="0.25">
      <c r="C52" s="8"/>
    </row>
    <row r="53" spans="3:4" x14ac:dyDescent="0.25">
      <c r="C53" s="8"/>
    </row>
    <row r="54" spans="3:4" x14ac:dyDescent="0.25">
      <c r="C54" s="8"/>
    </row>
    <row r="55" spans="3:4" x14ac:dyDescent="0.25">
      <c r="C55" s="8"/>
      <c r="D55" s="8"/>
    </row>
    <row r="57" spans="3:4" x14ac:dyDescent="0.25">
      <c r="C57" s="8"/>
    </row>
    <row r="58" spans="3:4" x14ac:dyDescent="0.25">
      <c r="C58" s="8"/>
    </row>
    <row r="59" spans="3:4" x14ac:dyDescent="0.25">
      <c r="C59" s="8"/>
    </row>
    <row r="60" spans="3:4" x14ac:dyDescent="0.25">
      <c r="C60" s="8"/>
    </row>
    <row r="61" spans="3:4" x14ac:dyDescent="0.25">
      <c r="C61" s="8"/>
    </row>
    <row r="62" spans="3:4" x14ac:dyDescent="0.25">
      <c r="C62" s="8"/>
    </row>
    <row r="63" spans="3:4" x14ac:dyDescent="0.25">
      <c r="C63" s="8"/>
    </row>
    <row r="64" spans="3:4" x14ac:dyDescent="0.25">
      <c r="C64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</sheetData>
  <customSheetViews>
    <customSheetView guid="{FB6C1840-092B-4DCD-B114-14127DE8C0F9}">
      <selection activeCell="D34" sqref="D34"/>
      <pageMargins left="0.7" right="0.7" top="0.75" bottom="0.75" header="0.3" footer="0.3"/>
    </customSheetView>
    <customSheetView guid="{BFAC555E-E7B7-4CF7-9F1A-95D34DDED4B3}">
      <selection activeCell="S38" sqref="S38"/>
      <pageMargins left="0.7" right="0.7" top="0.75" bottom="0.75" header="0.3" footer="0.3"/>
      <pageSetup paperSize="9" orientation="portrait" r:id="rId1"/>
    </customSheetView>
    <customSheetView guid="{03D5BD7D-D4D3-4AFF-8EAA-66637F997C80}" topLeftCell="A19">
      <selection activeCell="C14" sqref="C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G13" sqref="G13"/>
    </sheetView>
  </sheetViews>
  <sheetFormatPr baseColWidth="10" defaultRowHeight="15" x14ac:dyDescent="0.25"/>
  <cols>
    <col min="2" max="2" width="26.85546875" bestFit="1" customWidth="1"/>
    <col min="3" max="3" width="13" style="1" bestFit="1" customWidth="1"/>
    <col min="4" max="4" width="13" bestFit="1" customWidth="1"/>
    <col min="7" max="7" width="37.5703125" bestFit="1" customWidth="1"/>
    <col min="8" max="8" width="11.42578125" style="40"/>
  </cols>
  <sheetData>
    <row r="2" spans="1:8" x14ac:dyDescent="0.25">
      <c r="A2" t="s">
        <v>75</v>
      </c>
    </row>
    <row r="5" spans="1:8" x14ac:dyDescent="0.25">
      <c r="A5" s="13" t="s">
        <v>52</v>
      </c>
      <c r="B5" s="9" t="s">
        <v>69</v>
      </c>
      <c r="C5" s="5">
        <v>62000</v>
      </c>
      <c r="G5" s="9" t="s">
        <v>94</v>
      </c>
      <c r="H5" s="43">
        <v>63000</v>
      </c>
    </row>
    <row r="6" spans="1:8" x14ac:dyDescent="0.25">
      <c r="B6" s="9" t="s">
        <v>71</v>
      </c>
      <c r="C6" s="5">
        <v>1115</v>
      </c>
      <c r="D6" s="5">
        <f>SUM(C5:C6)</f>
        <v>63115</v>
      </c>
      <c r="G6" s="9" t="s">
        <v>95</v>
      </c>
      <c r="H6" s="43">
        <v>63000</v>
      </c>
    </row>
    <row r="7" spans="1:8" x14ac:dyDescent="0.25">
      <c r="G7" s="9" t="s">
        <v>96</v>
      </c>
      <c r="H7" s="43">
        <v>63000</v>
      </c>
    </row>
    <row r="8" spans="1:8" x14ac:dyDescent="0.25">
      <c r="A8" s="9" t="s">
        <v>68</v>
      </c>
      <c r="B8" s="9" t="s">
        <v>69</v>
      </c>
      <c r="C8" s="5">
        <v>62000</v>
      </c>
      <c r="G8" s="9" t="s">
        <v>98</v>
      </c>
      <c r="H8" s="43">
        <v>70500</v>
      </c>
    </row>
    <row r="9" spans="1:8" x14ac:dyDescent="0.25">
      <c r="B9" s="9" t="s">
        <v>70</v>
      </c>
      <c r="C9" s="5">
        <v>35000</v>
      </c>
      <c r="D9" s="5">
        <f>SUM(C8:C9)</f>
        <v>97000</v>
      </c>
      <c r="G9" s="9" t="s">
        <v>97</v>
      </c>
      <c r="H9" s="43">
        <v>115000</v>
      </c>
    </row>
    <row r="10" spans="1:8" x14ac:dyDescent="0.25">
      <c r="B10" s="22"/>
      <c r="C10" s="29"/>
      <c r="D10" s="29"/>
    </row>
    <row r="11" spans="1:8" x14ac:dyDescent="0.25">
      <c r="A11" s="9" t="s">
        <v>54</v>
      </c>
      <c r="B11" s="9" t="s">
        <v>69</v>
      </c>
      <c r="C11" s="5">
        <v>62000</v>
      </c>
      <c r="D11" s="29"/>
      <c r="H11" s="40">
        <f>SUM(H5:H10)</f>
        <v>374500</v>
      </c>
    </row>
    <row r="12" spans="1:8" x14ac:dyDescent="0.25">
      <c r="B12" s="13" t="s">
        <v>73</v>
      </c>
      <c r="C12" s="5">
        <v>8000</v>
      </c>
      <c r="D12" s="5">
        <f>SUM(C11:C12)</f>
        <v>70000</v>
      </c>
    </row>
    <row r="13" spans="1:8" x14ac:dyDescent="0.25">
      <c r="B13" s="22"/>
      <c r="C13" s="29"/>
      <c r="D13" s="29"/>
    </row>
    <row r="15" spans="1:8" x14ac:dyDescent="0.25">
      <c r="A15" s="9" t="s">
        <v>60</v>
      </c>
      <c r="B15" s="9" t="s">
        <v>69</v>
      </c>
      <c r="C15" s="5">
        <v>63000</v>
      </c>
    </row>
    <row r="16" spans="1:8" x14ac:dyDescent="0.25">
      <c r="B16" s="9" t="s">
        <v>72</v>
      </c>
      <c r="C16" s="5">
        <v>4500</v>
      </c>
      <c r="D16" s="29"/>
    </row>
    <row r="17" spans="2:4" x14ac:dyDescent="0.25">
      <c r="B17" s="13" t="s">
        <v>74</v>
      </c>
      <c r="C17" s="5">
        <v>3000</v>
      </c>
      <c r="D17" s="5">
        <f>SUM(C15:C17)</f>
        <v>70500</v>
      </c>
    </row>
  </sheetData>
  <customSheetViews>
    <customSheetView guid="{FB6C1840-092B-4DCD-B114-14127DE8C0F9}">
      <selection activeCell="A7" sqref="A7:XFD7"/>
      <pageMargins left="0.7" right="0.7" top="0.75" bottom="0.75" header="0.3" footer="0.3"/>
    </customSheetView>
    <customSheetView guid="{BFAC555E-E7B7-4CF7-9F1A-95D34DDED4B3}">
      <selection activeCell="O7" sqref="O7"/>
      <pageMargins left="0.7" right="0.7" top="0.75" bottom="0.75" header="0.3" footer="0.3"/>
    </customSheetView>
    <customSheetView guid="{03D5BD7D-D4D3-4AFF-8EAA-66637F997C80}">
      <selection activeCell="I15" sqref="I1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1"/>
  <sheetViews>
    <sheetView topLeftCell="A9" workbookViewId="0">
      <selection activeCell="B15" sqref="B15"/>
    </sheetView>
  </sheetViews>
  <sheetFormatPr baseColWidth="10" defaultRowHeight="15" x14ac:dyDescent="0.25"/>
  <sheetData>
    <row r="9" spans="1:4" x14ac:dyDescent="0.25">
      <c r="A9" t="s">
        <v>93</v>
      </c>
    </row>
    <row r="10" spans="1:4" x14ac:dyDescent="0.25">
      <c r="A10" t="s">
        <v>52</v>
      </c>
      <c r="B10" t="s">
        <v>91</v>
      </c>
      <c r="D10">
        <v>40494.21</v>
      </c>
    </row>
    <row r="11" spans="1:4" x14ac:dyDescent="0.25">
      <c r="B11" t="s">
        <v>92</v>
      </c>
      <c r="D11">
        <v>647.64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Pagaments</vt:lpstr>
      <vt:lpstr>Previsio despeses cap 2</vt:lpstr>
      <vt:lpstr>Previsio nomina cap 1</vt:lpstr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 Sala Curado - Barcelona</dc:creator>
  <cp:lastModifiedBy>Maria Claramunt Elías</cp:lastModifiedBy>
  <cp:lastPrinted>2021-11-16T07:59:56Z</cp:lastPrinted>
  <dcterms:created xsi:type="dcterms:W3CDTF">2021-01-12T10:22:49Z</dcterms:created>
  <dcterms:modified xsi:type="dcterms:W3CDTF">2021-12-24T11:49:15Z</dcterms:modified>
</cp:coreProperties>
</file>